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Korisnik\Desktop\Financije\"/>
    </mc:Choice>
  </mc:AlternateContent>
  <xr:revisionPtr revIDLastSave="0" documentId="8_{5B223096-4E90-492C-95C3-B107C5A2CF7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opći dio" sheetId="1" r:id="rId1"/>
    <sheet name="izvršenje finacijskog plana" sheetId="2" r:id="rId2"/>
    <sheet name="izvršenje - klasifikacija i izv" sheetId="3" r:id="rId3"/>
    <sheet name="rashodi po izvorima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2" l="1"/>
  <c r="E99" i="4"/>
  <c r="E17" i="4"/>
  <c r="E12" i="4"/>
  <c r="E10" i="4"/>
  <c r="E8" i="4"/>
  <c r="E128" i="4"/>
  <c r="E123" i="4"/>
  <c r="E121" i="4"/>
  <c r="E120" i="4" s="1"/>
  <c r="E117" i="4"/>
  <c r="E116" i="4"/>
  <c r="E86" i="4"/>
  <c r="E92" i="4"/>
  <c r="C117" i="4"/>
  <c r="E173" i="4"/>
  <c r="E163" i="4"/>
  <c r="E159" i="4"/>
  <c r="E158" i="4" s="1"/>
  <c r="C158" i="4"/>
  <c r="E150" i="4"/>
  <c r="E148" i="4"/>
  <c r="E122" i="4"/>
  <c r="C120" i="4"/>
  <c r="E139" i="4"/>
  <c r="E138" i="4" s="1"/>
  <c r="E133" i="4"/>
  <c r="E131" i="4" s="1"/>
  <c r="E130" i="4"/>
  <c r="E52" i="4"/>
  <c r="C128" i="4"/>
  <c r="C173" i="4"/>
  <c r="C163" i="4"/>
  <c r="C159" i="4"/>
  <c r="C138" i="4"/>
  <c r="C131" i="4"/>
  <c r="C157" i="4"/>
  <c r="C133" i="4"/>
  <c r="C127" i="4"/>
  <c r="C123" i="4"/>
  <c r="C121" i="4"/>
  <c r="C21" i="4"/>
  <c r="C36" i="4"/>
  <c r="C35" i="4"/>
  <c r="C17" i="4"/>
  <c r="C12" i="4"/>
  <c r="C10" i="4"/>
  <c r="C8" i="4"/>
  <c r="C7" i="4" s="1"/>
  <c r="C93" i="4"/>
  <c r="C110" i="4"/>
  <c r="C99" i="4"/>
  <c r="C126" i="4" l="1"/>
  <c r="E7" i="4"/>
  <c r="E6" i="4" s="1"/>
  <c r="E126" i="4"/>
  <c r="E175" i="4" s="1"/>
  <c r="E115" i="4"/>
  <c r="XFD138" i="4"/>
  <c r="E42" i="3"/>
  <c r="C42" i="3"/>
  <c r="C26" i="3"/>
  <c r="C28" i="3"/>
  <c r="C27" i="3"/>
  <c r="C7" i="3"/>
  <c r="D85" i="2"/>
  <c r="D77" i="2"/>
  <c r="D76" i="2"/>
  <c r="D74" i="2"/>
  <c r="D72" i="2"/>
  <c r="D69" i="2"/>
  <c r="D67" i="2"/>
  <c r="D59" i="2"/>
  <c r="D58" i="2"/>
  <c r="D53" i="2"/>
  <c r="D52" i="2"/>
  <c r="D51" i="2"/>
  <c r="F43" i="2"/>
  <c r="E43" i="2"/>
  <c r="C43" i="2"/>
  <c r="C50" i="2"/>
  <c r="D48" i="2"/>
  <c r="D47" i="2"/>
  <c r="D46" i="2"/>
  <c r="D45" i="2"/>
  <c r="D44" i="2"/>
  <c r="D43" i="2" s="1"/>
  <c r="D42" i="2"/>
  <c r="D41" i="2"/>
  <c r="D40" i="2"/>
  <c r="D39" i="2"/>
  <c r="D35" i="2"/>
  <c r="D33" i="2"/>
  <c r="D31" i="2"/>
  <c r="D18" i="2" l="1"/>
  <c r="H15" i="2"/>
  <c r="D7" i="2"/>
  <c r="B7" i="1"/>
  <c r="C10" i="1"/>
  <c r="C150" i="4" l="1"/>
  <c r="D6" i="1"/>
  <c r="C6" i="1"/>
  <c r="B6" i="1"/>
  <c r="F174" i="4" l="1"/>
  <c r="F164" i="4"/>
  <c r="F163" i="4"/>
  <c r="F157" i="4"/>
  <c r="F153" i="4"/>
  <c r="F146" i="4"/>
  <c r="F145" i="4"/>
  <c r="F139" i="4"/>
  <c r="F133" i="4"/>
  <c r="F132" i="4"/>
  <c r="F130" i="4"/>
  <c r="F128" i="4"/>
  <c r="F127" i="4"/>
  <c r="F123" i="4"/>
  <c r="F121" i="4"/>
  <c r="F120" i="4"/>
  <c r="F119" i="4"/>
  <c r="F118" i="4"/>
  <c r="F117" i="4"/>
  <c r="F105" i="4"/>
  <c r="F104" i="4"/>
  <c r="F102" i="4"/>
  <c r="F101" i="4"/>
  <c r="F100" i="4"/>
  <c r="F99" i="4"/>
  <c r="F96" i="4"/>
  <c r="F92" i="4"/>
  <c r="F91" i="4"/>
  <c r="F90" i="4"/>
  <c r="F89" i="4"/>
  <c r="F88" i="4"/>
  <c r="F87" i="4"/>
  <c r="F86" i="4"/>
  <c r="F79" i="4"/>
  <c r="F78" i="4"/>
  <c r="F77" i="4"/>
  <c r="F76" i="4"/>
  <c r="F75" i="4"/>
  <c r="F74" i="4"/>
  <c r="C81" i="4"/>
  <c r="F81" i="4" s="1"/>
  <c r="F17" i="4"/>
  <c r="C15" i="4"/>
  <c r="C6" i="4"/>
  <c r="F8" i="4"/>
  <c r="C52" i="4"/>
  <c r="C20" i="4"/>
  <c r="C27" i="4"/>
  <c r="F54" i="4"/>
  <c r="F52" i="4"/>
  <c r="F51" i="4"/>
  <c r="F49" i="4"/>
  <c r="F48" i="4"/>
  <c r="F47" i="4"/>
  <c r="F46" i="4"/>
  <c r="F43" i="4"/>
  <c r="F42" i="4"/>
  <c r="F36" i="4"/>
  <c r="F35" i="4"/>
  <c r="F34" i="4"/>
  <c r="F33" i="4"/>
  <c r="F32" i="4"/>
  <c r="F31" i="4"/>
  <c r="F30" i="4"/>
  <c r="F29" i="4"/>
  <c r="F28" i="4"/>
  <c r="F26" i="4"/>
  <c r="F25" i="4"/>
  <c r="F24" i="4"/>
  <c r="F23" i="4"/>
  <c r="F22" i="4"/>
  <c r="F21" i="4"/>
  <c r="F19" i="4"/>
  <c r="F18" i="4"/>
  <c r="F16" i="4"/>
  <c r="F7" i="4"/>
  <c r="E70" i="4"/>
  <c r="F70" i="4" s="1"/>
  <c r="C122" i="4"/>
  <c r="F122" i="4" s="1"/>
  <c r="C116" i="4"/>
  <c r="C39" i="4"/>
  <c r="F6" i="4" l="1"/>
  <c r="F116" i="4"/>
  <c r="C115" i="4"/>
  <c r="C14" i="4"/>
  <c r="C66" i="4" s="1"/>
  <c r="E97" i="4"/>
  <c r="F97" i="4" s="1"/>
  <c r="C175" i="4" l="1"/>
  <c r="F175" i="4" s="1"/>
  <c r="F115" i="4"/>
  <c r="E20" i="4"/>
  <c r="F20" i="4" s="1"/>
  <c r="E15" i="4"/>
  <c r="E27" i="4"/>
  <c r="F27" i="4" s="1"/>
  <c r="E39" i="4"/>
  <c r="F39" i="4" s="1"/>
  <c r="H144" i="4"/>
  <c r="H145" i="4" s="1"/>
  <c r="F15" i="4" l="1"/>
  <c r="E14" i="4"/>
  <c r="H14" i="4"/>
  <c r="H16" i="4" s="1"/>
  <c r="E94" i="4"/>
  <c r="F94" i="4" s="1"/>
  <c r="E66" i="4" l="1"/>
  <c r="F66" i="4" s="1"/>
  <c r="F14" i="4"/>
  <c r="E93" i="4"/>
  <c r="F93" i="4" s="1"/>
  <c r="H30" i="4"/>
  <c r="H32" i="4" s="1"/>
  <c r="E110" i="4" l="1"/>
  <c r="F110" i="4" s="1"/>
  <c r="H88" i="2"/>
  <c r="H87" i="2"/>
  <c r="H85" i="2"/>
  <c r="H82" i="2"/>
  <c r="H80" i="2"/>
  <c r="G80" i="2"/>
  <c r="H79" i="2"/>
  <c r="G79" i="2"/>
  <c r="H78" i="2"/>
  <c r="G78" i="2"/>
  <c r="H77" i="2"/>
  <c r="G77" i="2"/>
  <c r="H76" i="2"/>
  <c r="G76" i="2"/>
  <c r="G75" i="2"/>
  <c r="H74" i="2"/>
  <c r="G74" i="2"/>
  <c r="H73" i="2"/>
  <c r="H72" i="2"/>
  <c r="G72" i="2"/>
  <c r="G71" i="2"/>
  <c r="H70" i="2"/>
  <c r="G70" i="2"/>
  <c r="H69" i="2"/>
  <c r="G69" i="2"/>
  <c r="H68" i="2"/>
  <c r="H67" i="2"/>
  <c r="G67" i="2"/>
  <c r="G66" i="2"/>
  <c r="H65" i="2"/>
  <c r="G65" i="2"/>
  <c r="H64" i="2"/>
  <c r="G62" i="2"/>
  <c r="G61" i="2"/>
  <c r="G60" i="2"/>
  <c r="H59" i="2"/>
  <c r="G59" i="2"/>
  <c r="H58" i="2"/>
  <c r="G58" i="2"/>
  <c r="H57" i="2"/>
  <c r="G57" i="2"/>
  <c r="H56" i="2"/>
  <c r="G56" i="2"/>
  <c r="H55" i="2"/>
  <c r="G55" i="2"/>
  <c r="H54" i="2"/>
  <c r="G54" i="2"/>
  <c r="H53" i="2"/>
  <c r="G53" i="2"/>
  <c r="H52" i="2"/>
  <c r="G52" i="2"/>
  <c r="H51" i="2"/>
  <c r="G51" i="2"/>
  <c r="H50" i="2"/>
  <c r="G50" i="2"/>
  <c r="H49" i="2"/>
  <c r="H48" i="2"/>
  <c r="G48" i="2"/>
  <c r="H47" i="2"/>
  <c r="G47" i="2"/>
  <c r="H46" i="2"/>
  <c r="G46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G38" i="2"/>
  <c r="G37" i="2"/>
  <c r="G36" i="2"/>
  <c r="H35" i="2"/>
  <c r="G35" i="2"/>
  <c r="G34" i="2"/>
  <c r="H33" i="2"/>
  <c r="G33" i="2"/>
  <c r="H32" i="2"/>
  <c r="G32" i="2"/>
  <c r="H31" i="2"/>
  <c r="G31" i="2"/>
  <c r="G30" i="2"/>
  <c r="G29" i="2"/>
  <c r="D75" i="2"/>
  <c r="H75" i="2" s="1"/>
  <c r="D84" i="2"/>
  <c r="H84" i="2" s="1"/>
  <c r="D71" i="2"/>
  <c r="H71" i="2" s="1"/>
  <c r="D62" i="2"/>
  <c r="H62" i="2" s="1"/>
  <c r="D66" i="2"/>
  <c r="H66" i="2" s="1"/>
  <c r="D38" i="2"/>
  <c r="H38" i="2" s="1"/>
  <c r="F42" i="3"/>
  <c r="F41" i="3"/>
  <c r="F39" i="3"/>
  <c r="F38" i="3"/>
  <c r="F37" i="3"/>
  <c r="F28" i="3"/>
  <c r="F27" i="3"/>
  <c r="F23" i="3"/>
  <c r="F22" i="3"/>
  <c r="F21" i="3"/>
  <c r="F19" i="3"/>
  <c r="F16" i="3"/>
  <c r="F15" i="3"/>
  <c r="F14" i="3"/>
  <c r="F10" i="3"/>
  <c r="F8" i="3"/>
  <c r="F7" i="3"/>
  <c r="C29" i="3"/>
  <c r="C31" i="3" s="1"/>
  <c r="F31" i="3" s="1"/>
  <c r="C25" i="3"/>
  <c r="F25" i="3" s="1"/>
  <c r="F29" i="3" l="1"/>
  <c r="D34" i="2"/>
  <c r="H34" i="2" s="1"/>
  <c r="D30" i="2"/>
  <c r="H30" i="2" s="1"/>
  <c r="D29" i="2" l="1"/>
  <c r="H29" i="2" s="1"/>
  <c r="H24" i="2"/>
  <c r="G24" i="2"/>
  <c r="H23" i="2"/>
  <c r="G23" i="2"/>
  <c r="G20" i="2"/>
  <c r="H18" i="2"/>
  <c r="G18" i="2"/>
  <c r="H17" i="2"/>
  <c r="G17" i="2"/>
  <c r="H14" i="2"/>
  <c r="G14" i="2"/>
  <c r="H13" i="2"/>
  <c r="G13" i="2"/>
  <c r="H12" i="2"/>
  <c r="G12" i="2"/>
  <c r="H11" i="2"/>
  <c r="G11" i="2"/>
  <c r="H10" i="2"/>
  <c r="G10" i="2"/>
  <c r="H9" i="2"/>
  <c r="H7" i="2"/>
  <c r="G7" i="2"/>
  <c r="H6" i="2"/>
  <c r="G6" i="2"/>
</calcChain>
</file>

<file path=xl/sharedStrings.xml><?xml version="1.0" encoding="utf-8"?>
<sst xmlns="http://schemas.openxmlformats.org/spreadsheetml/2006/main" count="386" uniqueCount="163">
  <si>
    <t>IZVJEŠTAJ  O IZVRŠENJU FINACIJSKOG PLANA ZA 2021.G  - OPĆI DIO</t>
  </si>
  <si>
    <t>PRIHODI/ RASHODI TEKUĆA  GODINA</t>
  </si>
  <si>
    <t>PRIHODI  UKUPNO</t>
  </si>
  <si>
    <t>Prihod poslovanja</t>
  </si>
  <si>
    <t>Prihod od prodaje nefinacijske imovine</t>
  </si>
  <si>
    <t>RASHOD UKUPNO</t>
  </si>
  <si>
    <t>Rashod poslovanja</t>
  </si>
  <si>
    <t>Rashod za nefinancijsku imovinu</t>
  </si>
  <si>
    <t>RAZLKA- VIŠAK/ MANJAK</t>
  </si>
  <si>
    <t>Plan proračuna 2021.</t>
  </si>
  <si>
    <t>IZVRŠENJE 2020.</t>
  </si>
  <si>
    <t>IZVRŠENJE    2021.</t>
  </si>
  <si>
    <t>ODNOS/DONOS</t>
  </si>
  <si>
    <t>RAČUN FINANCIRANJA</t>
  </si>
  <si>
    <t>Primici od financijske imovine i zaduživanja</t>
  </si>
  <si>
    <t>Izdaci za financijsku imovinu i otplate  zajmova</t>
  </si>
  <si>
    <t>NETO FINANCIRANJE</t>
  </si>
  <si>
    <t>VIŠAK/MANJAK + DONOS + ODNOS + NETO FINANCIRANJE</t>
  </si>
  <si>
    <t>Račun prihoda/primitaka</t>
  </si>
  <si>
    <t>NAZIV RAČUNA</t>
  </si>
  <si>
    <t>Indeks</t>
  </si>
  <si>
    <t>OPĆI DIO</t>
  </si>
  <si>
    <t>6=5/2*100</t>
  </si>
  <si>
    <t>Prihodi iz nadležnog  proračuna za  finaciranje rashoda poslovanja</t>
  </si>
  <si>
    <t>Prihodi iz nadležnog  proračuna za  finaciranje rashodaza nabavu nefinanacijske imovine</t>
  </si>
  <si>
    <t>Prihodi iz nadležnog proračuna i od HZZO-a temeljem ugovornih obveza</t>
  </si>
  <si>
    <t>Prihodi od prodaje proizvoda i roba te pruženih usluga i prihodi od donacija</t>
  </si>
  <si>
    <t>Prihodi od prodaje proizvoda i roba te pruženih usluga</t>
  </si>
  <si>
    <t>PRIHODI po posebnim propisima</t>
  </si>
  <si>
    <t>Sufinaciranje cijene usluge, participacije i slično</t>
  </si>
  <si>
    <t>Pomoći iz inozemstva i od subjekata unutar općeg proračuna</t>
  </si>
  <si>
    <t>Pomoći od izvanproračunskih korisnika</t>
  </si>
  <si>
    <t>Pomoći proračunskim korisnicima iz proračuna  koji im nije nadležan</t>
  </si>
  <si>
    <t>Pomoći  temeljem prijenosa EU sredstava</t>
  </si>
  <si>
    <t>UKUPNI PRIHODI + VIŠAK  KORIŠTEN ZA POKRIĆE RASHODA</t>
  </si>
  <si>
    <t xml:space="preserve">                    UKUPNI  PRIHODI</t>
  </si>
  <si>
    <t>RASHODI I IZDACI</t>
  </si>
  <si>
    <t>Rashodi za  zaposlene</t>
  </si>
  <si>
    <t>Plaće</t>
  </si>
  <si>
    <t>Plaće za redovan rad</t>
  </si>
  <si>
    <t>Ostali rashodi za zaposlene</t>
  </si>
  <si>
    <t>Doprinosi  na plaće</t>
  </si>
  <si>
    <t>Doprinosi za obvezno zdravstveno osiguranje</t>
  </si>
  <si>
    <t>Doprinosi  za obvezno osiguranje u slučaju nezaposlenosti</t>
  </si>
  <si>
    <t>Naknade troškova zaposlenima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</si>
  <si>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</si>
  <si>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</si>
  <si>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</si>
  <si>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</si>
  <si>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Stručno usavršavanje zaposemika</t>
  </si>
  <si>
    <t>Ostale naknade troškova  zaposlenima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</si>
  <si>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</si>
  <si>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</si>
  <si>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</si>
  <si>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</si>
  <si>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</si>
  <si>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</si>
  <si>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</si>
  <si>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tekučeg i investicijskog održavanja</t>
  </si>
  <si>
    <t>Usluge promidžbe i informiranja</t>
  </si>
  <si>
    <t>Komunalne usluge</t>
  </si>
  <si>
    <t>Zakupnine i ajamnine</t>
  </si>
  <si>
    <t>Zdravstvene i  veterinarske usluge</t>
  </si>
  <si>
    <t>Intelektualne i osobne usluge</t>
  </si>
  <si>
    <t>računalne usluge</t>
  </si>
  <si>
    <t>Ostale  usluge</t>
  </si>
  <si>
    <t>Naknade troškova osobama izvan radnog odnosa</t>
  </si>
  <si>
    <t>Ostali nespomenuti rashodi poslovanja</t>
  </si>
  <si>
    <t>Ostale slične naknde za rad</t>
  </si>
  <si>
    <t>Premije osiguranja</t>
  </si>
  <si>
    <t>Reprezentacija</t>
  </si>
  <si>
    <t>Članarine i norme</t>
  </si>
  <si>
    <t>Pristojbe i naknade</t>
  </si>
  <si>
    <t>Troškovi sudskih postupaka</t>
  </si>
  <si>
    <t>Financijski  rashodi</t>
  </si>
  <si>
    <t>Ostali financijski  rashodi</t>
  </si>
  <si>
    <t>Bankarske usluge i usluge platnog prometa</t>
  </si>
  <si>
    <t>zatezne kamate</t>
  </si>
  <si>
    <t>Ostali nespomenuti financijski rashodi</t>
  </si>
  <si>
    <t>Naknade građanima i kućanstvima  na temelju osiguranja i druge  naknade</t>
  </si>
  <si>
    <t>Naknade građanima i kućanstvima u novcu-neposredno ili putem ustanova izvan javnog sektora</t>
  </si>
  <si>
    <t>Naknade građanima i kućanstvima u naravi</t>
  </si>
  <si>
    <t>Tekuće donacije</t>
  </si>
  <si>
    <t>Tekuće donacije u novcu</t>
  </si>
  <si>
    <t>Tekuće donacije u naravi</t>
  </si>
  <si>
    <t>Postrojenja i oprema</t>
  </si>
  <si>
    <t>Građevinski objekti</t>
  </si>
  <si>
    <t>Uredska oprema i namještaj</t>
  </si>
  <si>
    <t>Komunikacijska oprema</t>
  </si>
  <si>
    <t>Knjige, umjetnička djela i ostale izložbene vrijednosti</t>
  </si>
  <si>
    <t xml:space="preserve">Knjige  </t>
  </si>
  <si>
    <t>Rashodi za nabavu proizvedene dugotrajne imovine</t>
  </si>
  <si>
    <t>Ukupno:  Izvor  financiranja   Vlastiti prihodi</t>
  </si>
  <si>
    <t xml:space="preserve">                                                                          POSEBNI DIO</t>
  </si>
  <si>
    <t>DONOS</t>
  </si>
  <si>
    <t>Donos</t>
  </si>
  <si>
    <t>Donos vlastiti prihodi</t>
  </si>
  <si>
    <t>UKUPNO  Izvor  financiranja  VLASTITI PRIHODI   - DONOS</t>
  </si>
  <si>
    <t>SVEUKUPNO PRIHODI</t>
  </si>
  <si>
    <t>SVEUKUPNO PRIHODI + DONOS</t>
  </si>
  <si>
    <t>Materijalni rashodi</t>
  </si>
  <si>
    <t>UKUPNO:</t>
  </si>
  <si>
    <t>Donacije od pravnih i fizičkih osobaizvan općeg proračuna</t>
  </si>
  <si>
    <t>Ukupan donos neutrošenih prihoda iz predhodnih godina</t>
  </si>
  <si>
    <t>Ukupan odnos neutrošenih prihoda u slijedeću  godinu</t>
  </si>
  <si>
    <t>o</t>
  </si>
  <si>
    <t>Prijenos između proračunskih korisnika istog proračuna</t>
  </si>
  <si>
    <t>Prihod od financijske imovine</t>
  </si>
  <si>
    <t>Prihodi iz nadležnog  proračuna za  finaciranje rashoda za nabavu nefinanacijske imovine</t>
  </si>
  <si>
    <t>Prihodi od prodaje proizvedene dugotrajne imovine</t>
  </si>
  <si>
    <t>Prihodi od prodaje građevinskih objekata</t>
  </si>
  <si>
    <t>Ostale  naknadegrađanima i kućanstvima iz proračuna</t>
  </si>
  <si>
    <t>Naknade građanima i kućanstvima u novcu</t>
  </si>
  <si>
    <t xml:space="preserve">Ostali rashodi </t>
  </si>
  <si>
    <t>Izvori finaciranja  vlastiti prihodi - donos</t>
  </si>
  <si>
    <t>Pomoći proračunu iz drugih proračuna i izvanproračunskim korisnicima</t>
  </si>
  <si>
    <t>7=5/3*100</t>
  </si>
  <si>
    <t>Prihodi od  imovine</t>
  </si>
  <si>
    <t>5=4/3*1002</t>
  </si>
  <si>
    <t xml:space="preserve"> </t>
  </si>
  <si>
    <t>Zakupnine i  najamnine</t>
  </si>
  <si>
    <t xml:space="preserve">                                                           RASHODI I IZDACI</t>
  </si>
  <si>
    <t>Ostale naknade iz proračuna u novcu</t>
  </si>
  <si>
    <t>Naknade za  prijevoz na posao i s posla</t>
  </si>
  <si>
    <t>Uredski materijal i ostali malterijali</t>
  </si>
  <si>
    <t>materijal i sirovine</t>
  </si>
  <si>
    <t>ostale usluge</t>
  </si>
  <si>
    <t>OSTALI RASHODI</t>
  </si>
  <si>
    <t>Tekuće  donacije humanitarnim organizacijama</t>
  </si>
  <si>
    <t xml:space="preserve"> Ostale Naknade građanima i kućanstvima  iz proračuna</t>
  </si>
  <si>
    <t>Plaće za prekovremeni rad</t>
  </si>
  <si>
    <t>Plaće za posebne uvjete rada</t>
  </si>
  <si>
    <t>ostali nespomenuti rashodi poslovanja</t>
  </si>
  <si>
    <t>Naknade građenima i kućanstvima</t>
  </si>
  <si>
    <t>5=4/2*100</t>
  </si>
  <si>
    <t>Izvor finaciranja:  PRIHODI ZA POSEBNE NAMJENE</t>
  </si>
  <si>
    <t>Ukupno:  Izvor  financiranja-  Opći prihodi i primici</t>
  </si>
  <si>
    <t>Ukupno:  Izvor  financiranja -  Prihodi za posebne namjene</t>
  </si>
  <si>
    <t>Ukupno:  Izvor  financiranja - POMOĆI</t>
  </si>
  <si>
    <t>Izvor finaciranja: POMOĆI</t>
  </si>
  <si>
    <t>Izvor financiranje:  VLASTITI PRIHODI</t>
  </si>
  <si>
    <t>Izvori finaciranja : 1 Opći prihodi i primici</t>
  </si>
  <si>
    <t>IZVOR FINACIRANJA:  OPĆI PRIHODI I PRIMICI</t>
  </si>
  <si>
    <t>IZVOR FINACIRANJA:  VLASTITI PRIHODI</t>
  </si>
  <si>
    <t>IZVOR FINACIRANJA :  PRIHODI ZA POSEBNE NAMJENE</t>
  </si>
  <si>
    <t>IZVOR FINACIRANJA:  PRIHODI  POMOĆI</t>
  </si>
  <si>
    <t xml:space="preserve">    IZVJEŠTAJ O IZVRŠENJU FINANCIJSKOG PLANA 1.1.-30.6.2022.PO PROGRAMSKOJ, EKONOMSKOJ KLASIFIKACIJI  I IZVORIMA FINANCIRANJA</t>
  </si>
  <si>
    <t>Plan proračuna 2022.</t>
  </si>
  <si>
    <t>IZVRŠENJE 1.1.-30.6. 2021.</t>
  </si>
  <si>
    <t>IZVRŠENJE 1.1.-30.6. 2022.</t>
  </si>
  <si>
    <t>Izvorni plan 2022.</t>
  </si>
  <si>
    <t>Ostvarenje/izvršenje 2021</t>
  </si>
  <si>
    <t>Tekući plan 2022.</t>
  </si>
  <si>
    <t>Ostvarenje/izvršenje 2022.</t>
  </si>
  <si>
    <t>Ostvarenje/izvršenje     1.1.-30.6. 2021</t>
  </si>
  <si>
    <t>Ostvarenje/izvršenje     1.1.-30.6. 2022.</t>
  </si>
  <si>
    <t>GODIŠNJI IZVJEŠTAJ O  IZVRŠENJU FINACIJSKOG PLANA ZA 1.1.-30.6.2022. GODINU</t>
  </si>
  <si>
    <t>Tekući plan 2022</t>
  </si>
  <si>
    <t>Ostvarenje/izvršenje 2022.. 1.1.-30.6..2022</t>
  </si>
  <si>
    <t>Zakupnine i najamnine</t>
  </si>
  <si>
    <t xml:space="preserve">    IZVJEŠTAJ O IZVRŠENJU FINANCIJSKOG PLANA ZA 1.1.-30.6.2022 G. PO EKONOMSKOJ KLASIFIKACIJI</t>
  </si>
  <si>
    <t>Ostvarenje/izvršenje 1.1.-30.6.2022 2022.</t>
  </si>
  <si>
    <t>Ostvarenje/izvršenje  1.1.-30.6..2022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</si>
</sst>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_-* #,##0\ _k_n_-;\-* #,##0\ _k_n_-;_-* &quot;-&quot;??\ _k_n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/>
    <xf numFmtId="0" fontId="0" fillId="0" borderId="0" xfId="0" applyFont="1"/>
    <xf numFmtId="0" fontId="0" fillId="0" borderId="1" xfId="0" applyFont="1" applyBorder="1" applyAlignment="1">
      <alignment horizontal="center" wrapText="1"/>
    </xf>
    <xf numFmtId="0" fontId="0" fillId="0" borderId="1" xfId="0" applyFont="1" applyBorder="1"/>
    <xf numFmtId="0" fontId="0" fillId="0" borderId="1" xfId="0" applyBorder="1" applyAlignment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wrapText="1"/>
    </xf>
    <xf numFmtId="164" fontId="3" fillId="0" borderId="1" xfId="1" applyFont="1" applyBorder="1" applyAlignment="1">
      <alignment horizontal="center"/>
    </xf>
    <xf numFmtId="164" fontId="3" fillId="0" borderId="0" xfId="1" applyFont="1"/>
    <xf numFmtId="164" fontId="6" fillId="0" borderId="1" xfId="1" applyFont="1" applyBorder="1" applyAlignment="1">
      <alignment horizontal="center" wrapText="1"/>
    </xf>
    <xf numFmtId="164" fontId="3" fillId="0" borderId="1" xfId="1" applyFont="1" applyBorder="1"/>
    <xf numFmtId="165" fontId="6" fillId="0" borderId="0" xfId="1" applyNumberFormat="1" applyFont="1" applyAlignment="1">
      <alignment horizontal="center"/>
    </xf>
    <xf numFmtId="165" fontId="3" fillId="0" borderId="0" xfId="1" applyNumberFormat="1" applyFont="1"/>
    <xf numFmtId="165" fontId="6" fillId="0" borderId="1" xfId="1" applyNumberFormat="1" applyFont="1" applyBorder="1" applyAlignment="1">
      <alignment horizontal="center" wrapText="1"/>
    </xf>
    <xf numFmtId="165" fontId="3" fillId="0" borderId="1" xfId="1" applyNumberFormat="1" applyFont="1" applyBorder="1" applyAlignment="1">
      <alignment horizontal="center"/>
    </xf>
    <xf numFmtId="165" fontId="3" fillId="0" borderId="1" xfId="1" applyNumberFormat="1" applyFont="1" applyBorder="1"/>
    <xf numFmtId="165" fontId="6" fillId="0" borderId="0" xfId="1" applyNumberFormat="1" applyFont="1"/>
    <xf numFmtId="165" fontId="6" fillId="0" borderId="1" xfId="1" applyNumberFormat="1" applyFont="1" applyBorder="1"/>
    <xf numFmtId="165" fontId="2" fillId="0" borderId="0" xfId="1" applyNumberFormat="1" applyFont="1"/>
    <xf numFmtId="165" fontId="1" fillId="0" borderId="1" xfId="1" applyNumberFormat="1" applyFont="1" applyBorder="1" applyAlignment="1">
      <alignment horizontal="center"/>
    </xf>
    <xf numFmtId="165" fontId="1" fillId="0" borderId="1" xfId="1" applyNumberFormat="1" applyFont="1" applyBorder="1" applyAlignment="1">
      <alignment horizontal="center" wrapText="1"/>
    </xf>
    <xf numFmtId="165" fontId="1" fillId="0" borderId="1" xfId="1" applyNumberFormat="1" applyFont="1" applyBorder="1"/>
    <xf numFmtId="165" fontId="0" fillId="0" borderId="1" xfId="1" applyNumberFormat="1" applyFont="1" applyBorder="1"/>
    <xf numFmtId="165" fontId="0" fillId="0" borderId="0" xfId="1" applyNumberFormat="1" applyFont="1"/>
    <xf numFmtId="165" fontId="2" fillId="0" borderId="1" xfId="1" applyNumberFormat="1" applyFont="1" applyBorder="1" applyAlignment="1">
      <alignment horizontal="center" wrapText="1"/>
    </xf>
    <xf numFmtId="165" fontId="0" fillId="0" borderId="1" xfId="1" applyNumberFormat="1" applyFont="1" applyBorder="1" applyAlignment="1">
      <alignment horizontal="center"/>
    </xf>
    <xf numFmtId="165" fontId="0" fillId="0" borderId="0" xfId="1" applyNumberFormat="1" applyFont="1" applyBorder="1"/>
    <xf numFmtId="165" fontId="1" fillId="0" borderId="0" xfId="1" applyNumberFormat="1" applyFont="1"/>
    <xf numFmtId="0" fontId="1" fillId="0" borderId="1" xfId="0" applyFont="1" applyBorder="1" applyAlignment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/>
    <xf numFmtId="165" fontId="5" fillId="0" borderId="1" xfId="1" applyNumberFormat="1" applyFont="1" applyBorder="1"/>
    <xf numFmtId="164" fontId="7" fillId="0" borderId="1" xfId="1" applyFont="1" applyBorder="1"/>
    <xf numFmtId="165" fontId="0" fillId="0" borderId="0" xfId="0" applyNumberFormat="1"/>
    <xf numFmtId="165" fontId="8" fillId="0" borderId="1" xfId="1" applyNumberFormat="1" applyFont="1" applyBorder="1" applyAlignment="1">
      <alignment horizontal="center" wrapTex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workbookViewId="0">
      <selection activeCell="A23" sqref="A23:XFD23"/>
    </sheetView>
  </sheetViews>
  <sheetFormatPr defaultRowHeight="15" x14ac:dyDescent="0.25"/>
  <cols>
    <col min="1" max="1" width="21.85546875" customWidth="1"/>
    <col min="2" max="2" width="21.85546875" style="45" customWidth="1"/>
    <col min="3" max="3" width="17.85546875" style="45" customWidth="1"/>
    <col min="4" max="4" width="18.85546875" style="45" customWidth="1"/>
  </cols>
  <sheetData>
    <row r="1" spans="1:4" ht="15.75" x14ac:dyDescent="0.25">
      <c r="A1" s="1" t="s">
        <v>156</v>
      </c>
      <c r="B1" s="40"/>
      <c r="C1" s="40"/>
      <c r="D1" s="40"/>
    </row>
    <row r="2" spans="1:4" ht="15.75" x14ac:dyDescent="0.25">
      <c r="A2" s="1"/>
      <c r="B2" s="40"/>
      <c r="C2" s="40"/>
      <c r="D2" s="40"/>
    </row>
    <row r="3" spans="1:4" ht="15.75" x14ac:dyDescent="0.25">
      <c r="A3" s="1" t="s">
        <v>0</v>
      </c>
      <c r="B3" s="40"/>
      <c r="C3" s="40"/>
      <c r="D3" s="40"/>
    </row>
    <row r="5" spans="1:4" ht="30" x14ac:dyDescent="0.25">
      <c r="A5" s="3" t="s">
        <v>1</v>
      </c>
      <c r="B5" s="42" t="s">
        <v>148</v>
      </c>
      <c r="C5" s="42" t="s">
        <v>147</v>
      </c>
      <c r="D5" s="42" t="s">
        <v>149</v>
      </c>
    </row>
    <row r="6" spans="1:4" ht="25.5" customHeight="1" x14ac:dyDescent="0.25">
      <c r="A6" s="7" t="s">
        <v>2</v>
      </c>
      <c r="B6" s="43">
        <f>SUM(B7:B8)</f>
        <v>6907142</v>
      </c>
      <c r="C6" s="43">
        <f t="shared" ref="C6:D6" si="0">SUM(C7:C8)</f>
        <v>15998550.92</v>
      </c>
      <c r="D6" s="43">
        <f t="shared" si="0"/>
        <v>8564988</v>
      </c>
    </row>
    <row r="7" spans="1:4" ht="25.5" customHeight="1" x14ac:dyDescent="0.25">
      <c r="A7" s="5" t="s">
        <v>3</v>
      </c>
      <c r="B7" s="44">
        <f>6906256</f>
        <v>6906256</v>
      </c>
      <c r="C7" s="44">
        <v>15998550.92</v>
      </c>
      <c r="D7" s="44">
        <v>8564988</v>
      </c>
    </row>
    <row r="8" spans="1:4" ht="30" x14ac:dyDescent="0.25">
      <c r="A8" s="6" t="s">
        <v>4</v>
      </c>
      <c r="B8" s="44">
        <v>886</v>
      </c>
      <c r="C8" s="44">
        <v>0</v>
      </c>
      <c r="D8" s="44">
        <v>0</v>
      </c>
    </row>
    <row r="9" spans="1:4" ht="27" customHeight="1" x14ac:dyDescent="0.25">
      <c r="A9" s="7" t="s">
        <v>5</v>
      </c>
      <c r="B9" s="44">
        <v>14710335</v>
      </c>
      <c r="C9" s="44">
        <v>15998551</v>
      </c>
      <c r="D9" s="44">
        <v>15063665</v>
      </c>
    </row>
    <row r="10" spans="1:4" ht="29.25" customHeight="1" x14ac:dyDescent="0.25">
      <c r="A10" s="5" t="s">
        <v>6</v>
      </c>
      <c r="B10" s="44">
        <v>6831592</v>
      </c>
      <c r="C10" s="44">
        <f>15998551-38000</f>
        <v>15960551</v>
      </c>
      <c r="D10" s="44">
        <v>8277566</v>
      </c>
    </row>
    <row r="11" spans="1:4" ht="30" x14ac:dyDescent="0.25">
      <c r="A11" s="6" t="s">
        <v>7</v>
      </c>
      <c r="B11" s="44">
        <v>0</v>
      </c>
      <c r="C11" s="44">
        <v>38000</v>
      </c>
      <c r="D11" s="44">
        <v>13639</v>
      </c>
    </row>
    <row r="12" spans="1:4" ht="30" x14ac:dyDescent="0.25">
      <c r="A12" s="8" t="s">
        <v>8</v>
      </c>
      <c r="B12" s="44">
        <v>75550</v>
      </c>
      <c r="C12" s="44"/>
      <c r="D12" s="44">
        <v>273783</v>
      </c>
    </row>
    <row r="14" spans="1:4" ht="32.25" customHeight="1" x14ac:dyDescent="0.25">
      <c r="A14" s="2" t="s">
        <v>12</v>
      </c>
      <c r="B14" s="42" t="s">
        <v>148</v>
      </c>
      <c r="C14" s="42" t="s">
        <v>147</v>
      </c>
      <c r="D14" s="42" t="s">
        <v>149</v>
      </c>
    </row>
    <row r="15" spans="1:4" ht="45" x14ac:dyDescent="0.25">
      <c r="A15" s="4" t="s">
        <v>103</v>
      </c>
      <c r="B15" s="44">
        <v>174869</v>
      </c>
      <c r="C15" s="44">
        <v>169704</v>
      </c>
      <c r="D15" s="44">
        <v>169704</v>
      </c>
    </row>
    <row r="16" spans="1:4" ht="45" x14ac:dyDescent="0.25">
      <c r="A16" s="6" t="s">
        <v>104</v>
      </c>
      <c r="B16" s="44" t="s">
        <v>119</v>
      </c>
      <c r="C16" s="44">
        <v>0</v>
      </c>
      <c r="D16" s="44">
        <v>0</v>
      </c>
    </row>
    <row r="18" spans="1:4" ht="30" hidden="1" x14ac:dyDescent="0.25">
      <c r="A18" s="7" t="s">
        <v>13</v>
      </c>
      <c r="B18" s="41" t="s">
        <v>10</v>
      </c>
      <c r="C18" s="42" t="s">
        <v>9</v>
      </c>
      <c r="D18" s="42" t="s">
        <v>11</v>
      </c>
    </row>
    <row r="19" spans="1:4" ht="30" hidden="1" x14ac:dyDescent="0.25">
      <c r="A19" s="6" t="s">
        <v>14</v>
      </c>
      <c r="B19" s="44"/>
      <c r="C19" s="44"/>
      <c r="D19" s="44"/>
    </row>
    <row r="20" spans="1:4" ht="45" hidden="1" x14ac:dyDescent="0.25">
      <c r="A20" s="6" t="s">
        <v>15</v>
      </c>
      <c r="B20" s="44"/>
      <c r="C20" s="44"/>
      <c r="D20" s="44"/>
    </row>
    <row r="21" spans="1:4" ht="24" hidden="1" customHeight="1" x14ac:dyDescent="0.25">
      <c r="A21" s="9" t="s">
        <v>16</v>
      </c>
      <c r="B21" s="44"/>
      <c r="C21" s="44"/>
      <c r="D21" s="44"/>
    </row>
    <row r="23" spans="1:4" ht="45" hidden="1" x14ac:dyDescent="0.25">
      <c r="A23" s="9" t="s">
        <v>17</v>
      </c>
      <c r="B23" s="44" t="s">
        <v>105</v>
      </c>
      <c r="C23" s="44" t="s">
        <v>105</v>
      </c>
      <c r="D23" s="44" t="s">
        <v>105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8"/>
  <sheetViews>
    <sheetView workbookViewId="0">
      <selection activeCell="A3" sqref="A3"/>
    </sheetView>
  </sheetViews>
  <sheetFormatPr defaultRowHeight="15" x14ac:dyDescent="0.25"/>
  <cols>
    <col min="1" max="1" width="10.85546875" style="10" customWidth="1"/>
    <col min="2" max="2" width="40" customWidth="1"/>
    <col min="3" max="3" width="14.85546875" style="34" customWidth="1"/>
    <col min="4" max="4" width="16.42578125" style="34" customWidth="1"/>
    <col min="5" max="5" width="12.28515625" style="34" customWidth="1"/>
    <col min="6" max="6" width="15.42578125" style="34" customWidth="1"/>
    <col min="7" max="7" width="13.5703125" style="30" customWidth="1"/>
    <col min="8" max="8" width="11.5703125" style="30" customWidth="1"/>
  </cols>
  <sheetData>
    <row r="1" spans="1:8" ht="24.75" customHeight="1" x14ac:dyDescent="0.25">
      <c r="A1" s="11"/>
      <c r="C1" s="33" t="s">
        <v>21</v>
      </c>
    </row>
    <row r="2" spans="1:8" ht="24.75" customHeight="1" x14ac:dyDescent="0.25">
      <c r="A2" s="12" t="s">
        <v>160</v>
      </c>
    </row>
    <row r="4" spans="1:8" ht="54" customHeight="1" x14ac:dyDescent="0.25">
      <c r="A4" s="3" t="s">
        <v>18</v>
      </c>
      <c r="B4" s="2" t="s">
        <v>19</v>
      </c>
      <c r="C4" s="56" t="s">
        <v>154</v>
      </c>
      <c r="D4" s="35" t="s">
        <v>150</v>
      </c>
      <c r="E4" s="35" t="s">
        <v>152</v>
      </c>
      <c r="F4" s="56" t="s">
        <v>155</v>
      </c>
      <c r="G4" s="31" t="s">
        <v>20</v>
      </c>
      <c r="H4" s="31" t="s">
        <v>20</v>
      </c>
    </row>
    <row r="5" spans="1:8" x14ac:dyDescent="0.25">
      <c r="A5" s="13"/>
      <c r="B5" s="14">
        <v>1</v>
      </c>
      <c r="C5" s="36">
        <v>2</v>
      </c>
      <c r="D5" s="36">
        <v>3</v>
      </c>
      <c r="E5" s="36">
        <v>4</v>
      </c>
      <c r="F5" s="36">
        <v>5</v>
      </c>
      <c r="G5" s="29" t="s">
        <v>22</v>
      </c>
      <c r="H5" s="29" t="s">
        <v>116</v>
      </c>
    </row>
    <row r="6" spans="1:8" s="19" customFormat="1" ht="30" x14ac:dyDescent="0.25">
      <c r="A6" s="20">
        <v>67</v>
      </c>
      <c r="B6" s="15" t="s">
        <v>25</v>
      </c>
      <c r="C6" s="37">
        <v>671707</v>
      </c>
      <c r="D6" s="37">
        <v>1391255</v>
      </c>
      <c r="E6" s="37"/>
      <c r="F6" s="37">
        <v>993567</v>
      </c>
      <c r="G6" s="32">
        <f>F6/C6*100</f>
        <v>147.91672559613045</v>
      </c>
      <c r="H6" s="32">
        <f>F6/D6*100</f>
        <v>71.41516113149639</v>
      </c>
    </row>
    <row r="7" spans="1:8" ht="30" x14ac:dyDescent="0.25">
      <c r="A7" s="13">
        <v>6711</v>
      </c>
      <c r="B7" s="6" t="s">
        <v>23</v>
      </c>
      <c r="C7" s="37">
        <v>671707</v>
      </c>
      <c r="D7" s="37">
        <f>1355000+36255</f>
        <v>1391255</v>
      </c>
      <c r="E7" s="37"/>
      <c r="F7" s="37">
        <v>993567</v>
      </c>
      <c r="G7" s="32">
        <f t="shared" ref="G7:G24" si="0">F7/C7*100</f>
        <v>147.91672559613045</v>
      </c>
      <c r="H7" s="32">
        <f t="shared" ref="H7:H24" si="1">F7/D7*100</f>
        <v>71.41516113149639</v>
      </c>
    </row>
    <row r="8" spans="1:8" ht="42" customHeight="1" x14ac:dyDescent="0.25">
      <c r="A8" s="13">
        <v>6712</v>
      </c>
      <c r="B8" s="6" t="s">
        <v>108</v>
      </c>
      <c r="C8" s="37"/>
      <c r="D8" s="37"/>
      <c r="E8" s="37"/>
      <c r="F8" s="37"/>
      <c r="G8" s="32"/>
      <c r="H8" s="32"/>
    </row>
    <row r="9" spans="1:8" ht="30" x14ac:dyDescent="0.25">
      <c r="A9" s="3">
        <v>66</v>
      </c>
      <c r="B9" s="8" t="s">
        <v>26</v>
      </c>
      <c r="C9" s="37">
        <f>SUM(C10:C11)</f>
        <v>22769</v>
      </c>
      <c r="D9" s="37">
        <v>60000</v>
      </c>
      <c r="E9" s="37"/>
      <c r="F9" s="37">
        <v>57785</v>
      </c>
      <c r="G9" s="32">
        <v>0</v>
      </c>
      <c r="H9" s="32">
        <f t="shared" si="1"/>
        <v>96.308333333333323</v>
      </c>
    </row>
    <row r="10" spans="1:8" ht="30" x14ac:dyDescent="0.25">
      <c r="A10" s="13">
        <v>661</v>
      </c>
      <c r="B10" s="15" t="s">
        <v>27</v>
      </c>
      <c r="C10" s="37">
        <v>14769</v>
      </c>
      <c r="D10" s="37">
        <v>30000</v>
      </c>
      <c r="E10" s="37"/>
      <c r="F10" s="37">
        <v>56400</v>
      </c>
      <c r="G10" s="32">
        <f t="shared" si="0"/>
        <v>381.88096689010769</v>
      </c>
      <c r="H10" s="32">
        <f t="shared" si="1"/>
        <v>188</v>
      </c>
    </row>
    <row r="11" spans="1:8" ht="30" x14ac:dyDescent="0.25">
      <c r="A11" s="13">
        <v>663</v>
      </c>
      <c r="B11" s="15" t="s">
        <v>102</v>
      </c>
      <c r="C11" s="37">
        <v>8000</v>
      </c>
      <c r="D11" s="37">
        <v>30000</v>
      </c>
      <c r="E11" s="37"/>
      <c r="F11" s="37">
        <v>1385</v>
      </c>
      <c r="G11" s="32">
        <f t="shared" si="0"/>
        <v>17.3125</v>
      </c>
      <c r="H11" s="32">
        <f t="shared" si="1"/>
        <v>4.6166666666666671</v>
      </c>
    </row>
    <row r="12" spans="1:8" x14ac:dyDescent="0.25">
      <c r="A12" s="3">
        <v>652</v>
      </c>
      <c r="B12" s="8" t="s">
        <v>28</v>
      </c>
      <c r="C12" s="37">
        <v>585798</v>
      </c>
      <c r="D12" s="37">
        <v>945250</v>
      </c>
      <c r="E12" s="37"/>
      <c r="F12" s="37">
        <v>494247</v>
      </c>
      <c r="G12" s="32">
        <f t="shared" si="0"/>
        <v>84.371575184619957</v>
      </c>
      <c r="H12" s="32">
        <f t="shared" si="1"/>
        <v>52.287437185929655</v>
      </c>
    </row>
    <row r="13" spans="1:8" ht="30" x14ac:dyDescent="0.25">
      <c r="A13" s="13">
        <v>65264</v>
      </c>
      <c r="B13" s="15" t="s">
        <v>29</v>
      </c>
      <c r="C13" s="37">
        <v>273122</v>
      </c>
      <c r="D13" s="37">
        <v>945250</v>
      </c>
      <c r="E13" s="37"/>
      <c r="F13" s="37">
        <v>494247</v>
      </c>
      <c r="G13" s="32">
        <f t="shared" si="0"/>
        <v>180.96198768315989</v>
      </c>
      <c r="H13" s="32">
        <f t="shared" si="1"/>
        <v>52.287437185929655</v>
      </c>
    </row>
    <row r="14" spans="1:8" ht="30" x14ac:dyDescent="0.25">
      <c r="A14" s="3">
        <v>63</v>
      </c>
      <c r="B14" s="8" t="s">
        <v>30</v>
      </c>
      <c r="C14" s="37">
        <v>5938649</v>
      </c>
      <c r="D14" s="37">
        <v>12192545</v>
      </c>
      <c r="E14" s="37"/>
      <c r="F14" s="37">
        <v>7019382</v>
      </c>
      <c r="G14" s="32">
        <f t="shared" si="0"/>
        <v>118.19829728950137</v>
      </c>
      <c r="H14" s="32">
        <f t="shared" si="1"/>
        <v>57.571097748665267</v>
      </c>
    </row>
    <row r="15" spans="1:8" ht="30" x14ac:dyDescent="0.25">
      <c r="A15" s="20">
        <v>633</v>
      </c>
      <c r="B15" s="15" t="s">
        <v>115</v>
      </c>
      <c r="C15" s="37"/>
      <c r="D15" s="37">
        <v>56825</v>
      </c>
      <c r="E15" s="37"/>
      <c r="F15" s="37">
        <v>19639</v>
      </c>
      <c r="G15" s="32"/>
      <c r="H15" s="32">
        <f t="shared" si="1"/>
        <v>34.560492740871098</v>
      </c>
    </row>
    <row r="16" spans="1:8" ht="23.25" customHeight="1" x14ac:dyDescent="0.25">
      <c r="A16" s="13">
        <v>634</v>
      </c>
      <c r="B16" s="15" t="s">
        <v>31</v>
      </c>
      <c r="C16" s="37"/>
      <c r="D16" s="37"/>
      <c r="E16" s="37"/>
      <c r="F16" s="37">
        <v>0</v>
      </c>
      <c r="G16" s="32"/>
      <c r="H16" s="32"/>
    </row>
    <row r="17" spans="1:8" ht="30" x14ac:dyDescent="0.25">
      <c r="A17" s="13">
        <v>636</v>
      </c>
      <c r="B17" s="15" t="s">
        <v>32</v>
      </c>
      <c r="C17" s="37">
        <v>5723579</v>
      </c>
      <c r="D17" s="37">
        <v>12705000</v>
      </c>
      <c r="E17" s="37"/>
      <c r="F17" s="37">
        <v>6442821</v>
      </c>
      <c r="G17" s="32">
        <f t="shared" si="0"/>
        <v>112.56629811521776</v>
      </c>
      <c r="H17" s="32">
        <f t="shared" si="1"/>
        <v>50.710909090909098</v>
      </c>
    </row>
    <row r="18" spans="1:8" ht="21.75" customHeight="1" x14ac:dyDescent="0.25">
      <c r="A18" s="13">
        <v>638</v>
      </c>
      <c r="B18" s="15" t="s">
        <v>33</v>
      </c>
      <c r="C18" s="37">
        <v>215070</v>
      </c>
      <c r="D18" s="37">
        <f>338500+174392+147392</f>
        <v>660284</v>
      </c>
      <c r="E18" s="37"/>
      <c r="F18" s="37">
        <v>492311</v>
      </c>
      <c r="G18" s="32">
        <f t="shared" si="0"/>
        <v>228.90733249639652</v>
      </c>
      <c r="H18" s="32">
        <f t="shared" si="1"/>
        <v>74.560492151861922</v>
      </c>
    </row>
    <row r="19" spans="1:8" ht="28.5" customHeight="1" x14ac:dyDescent="0.25">
      <c r="A19" s="13">
        <v>639</v>
      </c>
      <c r="B19" s="15" t="s">
        <v>106</v>
      </c>
      <c r="C19" s="37">
        <v>0</v>
      </c>
      <c r="D19" s="37"/>
      <c r="E19" s="37"/>
      <c r="F19" s="37">
        <v>64611</v>
      </c>
      <c r="G19" s="32">
        <v>0</v>
      </c>
      <c r="H19" s="32"/>
    </row>
    <row r="20" spans="1:8" ht="21.75" customHeight="1" x14ac:dyDescent="0.25">
      <c r="A20" s="13">
        <v>641</v>
      </c>
      <c r="B20" s="15" t="s">
        <v>107</v>
      </c>
      <c r="C20" s="37">
        <v>9</v>
      </c>
      <c r="D20" s="37">
        <v>0</v>
      </c>
      <c r="E20" s="37"/>
      <c r="F20" s="37">
        <v>6</v>
      </c>
      <c r="G20" s="32">
        <f t="shared" si="0"/>
        <v>66.666666666666657</v>
      </c>
      <c r="H20" s="32"/>
    </row>
    <row r="21" spans="1:8" ht="27.75" customHeight="1" x14ac:dyDescent="0.25">
      <c r="A21" s="13">
        <v>72</v>
      </c>
      <c r="B21" s="15" t="s">
        <v>109</v>
      </c>
      <c r="C21" s="37"/>
      <c r="D21" s="37">
        <v>0</v>
      </c>
      <c r="E21" s="37"/>
      <c r="F21" s="37"/>
      <c r="G21" s="32"/>
      <c r="H21" s="32"/>
    </row>
    <row r="22" spans="1:8" ht="21.75" customHeight="1" x14ac:dyDescent="0.25">
      <c r="A22" s="13">
        <v>721</v>
      </c>
      <c r="B22" s="15" t="s">
        <v>110</v>
      </c>
      <c r="C22" s="37">
        <v>0</v>
      </c>
      <c r="D22" s="37">
        <v>0</v>
      </c>
      <c r="E22" s="37"/>
      <c r="F22" s="37">
        <v>0</v>
      </c>
      <c r="G22" s="32">
        <v>0</v>
      </c>
      <c r="H22" s="32">
        <v>0</v>
      </c>
    </row>
    <row r="23" spans="1:8" ht="19.5" customHeight="1" x14ac:dyDescent="0.25">
      <c r="A23" s="16" t="s">
        <v>35</v>
      </c>
      <c r="B23" s="5"/>
      <c r="C23" s="37">
        <v>6907143</v>
      </c>
      <c r="D23" s="37">
        <v>15998550</v>
      </c>
      <c r="E23" s="37"/>
      <c r="F23" s="37">
        <v>8564988</v>
      </c>
      <c r="G23" s="32">
        <f t="shared" si="0"/>
        <v>124.00189195445932</v>
      </c>
      <c r="H23" s="32">
        <f t="shared" si="1"/>
        <v>53.536026702419903</v>
      </c>
    </row>
    <row r="24" spans="1:8" ht="36.75" customHeight="1" x14ac:dyDescent="0.25">
      <c r="A24" s="17"/>
      <c r="B24" s="4" t="s">
        <v>34</v>
      </c>
      <c r="C24" s="37">
        <v>6907143</v>
      </c>
      <c r="D24" s="37">
        <v>15998550</v>
      </c>
      <c r="E24" s="37"/>
      <c r="F24" s="37">
        <v>8564988</v>
      </c>
      <c r="G24" s="32">
        <f t="shared" si="0"/>
        <v>124.00189195445932</v>
      </c>
      <c r="H24" s="32">
        <f t="shared" si="1"/>
        <v>53.536026702419903</v>
      </c>
    </row>
    <row r="26" spans="1:8" x14ac:dyDescent="0.25">
      <c r="C26" s="38" t="s">
        <v>36</v>
      </c>
    </row>
    <row r="27" spans="1:8" ht="45" x14ac:dyDescent="0.25">
      <c r="A27" s="3" t="s">
        <v>18</v>
      </c>
      <c r="B27" s="2" t="s">
        <v>19</v>
      </c>
      <c r="C27" s="35" t="s">
        <v>151</v>
      </c>
      <c r="D27" s="35" t="s">
        <v>150</v>
      </c>
      <c r="E27" s="35" t="s">
        <v>152</v>
      </c>
      <c r="F27" s="35" t="s">
        <v>153</v>
      </c>
      <c r="G27" s="31" t="s">
        <v>20</v>
      </c>
      <c r="H27" s="31" t="s">
        <v>20</v>
      </c>
    </row>
    <row r="28" spans="1:8" x14ac:dyDescent="0.25">
      <c r="A28" s="13"/>
      <c r="B28" s="14">
        <v>1</v>
      </c>
      <c r="C28" s="36">
        <v>2</v>
      </c>
      <c r="D28" s="36">
        <v>3</v>
      </c>
      <c r="E28" s="36">
        <v>4</v>
      </c>
      <c r="F28" s="36">
        <v>5</v>
      </c>
      <c r="G28" s="29" t="s">
        <v>22</v>
      </c>
      <c r="H28" s="29" t="s">
        <v>116</v>
      </c>
    </row>
    <row r="29" spans="1:8" s="18" customFormat="1" x14ac:dyDescent="0.25">
      <c r="A29" s="3">
        <v>31</v>
      </c>
      <c r="B29" s="7" t="s">
        <v>37</v>
      </c>
      <c r="C29" s="39">
        <v>5918799</v>
      </c>
      <c r="D29" s="39">
        <f>D30+D32+D34</f>
        <v>11609974</v>
      </c>
      <c r="E29" s="39"/>
      <c r="F29" s="39">
        <v>6573436</v>
      </c>
      <c r="G29" s="32">
        <f t="shared" ref="G29:G80" si="2">F29/C29*100</f>
        <v>111.06030125368338</v>
      </c>
      <c r="H29" s="32">
        <f t="shared" ref="H29:H88" si="3">F29/D29*100</f>
        <v>56.618869258449678</v>
      </c>
    </row>
    <row r="30" spans="1:8" s="18" customFormat="1" x14ac:dyDescent="0.25">
      <c r="A30" s="3">
        <v>311</v>
      </c>
      <c r="B30" s="7" t="s">
        <v>38</v>
      </c>
      <c r="C30" s="39">
        <v>4934620</v>
      </c>
      <c r="D30" s="39">
        <f>9556975+120000+65000</f>
        <v>9741975</v>
      </c>
      <c r="E30" s="39"/>
      <c r="F30" s="39">
        <v>5467936</v>
      </c>
      <c r="G30" s="32">
        <f t="shared" si="2"/>
        <v>110.80764070992295</v>
      </c>
      <c r="H30" s="32">
        <f t="shared" si="3"/>
        <v>56.127592197680656</v>
      </c>
    </row>
    <row r="31" spans="1:8" x14ac:dyDescent="0.25">
      <c r="A31" s="13">
        <v>3111</v>
      </c>
      <c r="B31" s="5" t="s">
        <v>39</v>
      </c>
      <c r="C31" s="37">
        <v>4833514</v>
      </c>
      <c r="D31" s="37">
        <f>390000+90000+20477+98630+17405+9800000+8544+41148+7260</f>
        <v>10473464</v>
      </c>
      <c r="E31" s="37"/>
      <c r="F31" s="37">
        <v>5265534</v>
      </c>
      <c r="G31" s="32">
        <f t="shared" si="2"/>
        <v>108.93801073090923</v>
      </c>
      <c r="H31" s="32">
        <f t="shared" si="3"/>
        <v>50.274999751753583</v>
      </c>
    </row>
    <row r="32" spans="1:8" s="18" customFormat="1" x14ac:dyDescent="0.25">
      <c r="A32" s="3">
        <v>312</v>
      </c>
      <c r="B32" s="7" t="s">
        <v>40</v>
      </c>
      <c r="C32" s="39">
        <v>362907</v>
      </c>
      <c r="D32" s="39">
        <v>372999</v>
      </c>
      <c r="E32" s="39"/>
      <c r="F32" s="39">
        <v>405538</v>
      </c>
      <c r="G32" s="32">
        <f t="shared" si="2"/>
        <v>111.74708671918701</v>
      </c>
      <c r="H32" s="32">
        <f t="shared" si="3"/>
        <v>108.72361588100772</v>
      </c>
    </row>
    <row r="33" spans="1:8" x14ac:dyDescent="0.25">
      <c r="A33" s="13">
        <v>3121</v>
      </c>
      <c r="B33" s="5" t="s">
        <v>40</v>
      </c>
      <c r="C33" s="37">
        <v>161154</v>
      </c>
      <c r="D33" s="37">
        <f>16000+675+3251+573+350000+1806+375+319</f>
        <v>372999</v>
      </c>
      <c r="E33" s="37"/>
      <c r="F33" s="37">
        <v>199238</v>
      </c>
      <c r="G33" s="32">
        <f t="shared" si="2"/>
        <v>123.6320538118818</v>
      </c>
      <c r="H33" s="32">
        <f t="shared" si="3"/>
        <v>53.415156608998949</v>
      </c>
    </row>
    <row r="34" spans="1:8" x14ac:dyDescent="0.25">
      <c r="A34" s="3">
        <v>313</v>
      </c>
      <c r="B34" s="7" t="s">
        <v>41</v>
      </c>
      <c r="C34" s="37">
        <v>1518368</v>
      </c>
      <c r="D34" s="37">
        <f>1495000+0</f>
        <v>1495000</v>
      </c>
      <c r="E34" s="37"/>
      <c r="F34" s="37">
        <v>906262</v>
      </c>
      <c r="G34" s="32">
        <f t="shared" si="2"/>
        <v>59.6865845434045</v>
      </c>
      <c r="H34" s="32">
        <f t="shared" si="3"/>
        <v>60.61953177257525</v>
      </c>
    </row>
    <row r="35" spans="1:8" ht="30" x14ac:dyDescent="0.25">
      <c r="A35" s="13">
        <v>3132</v>
      </c>
      <c r="B35" s="6" t="s">
        <v>42</v>
      </c>
      <c r="C35" s="37">
        <v>810275</v>
      </c>
      <c r="D35" s="37">
        <f>84000+3379+16274+2872+1644000+1409+6790+1198</f>
        <v>1759922</v>
      </c>
      <c r="E35" s="37"/>
      <c r="F35" s="37">
        <v>904119</v>
      </c>
      <c r="G35" s="32">
        <f t="shared" si="2"/>
        <v>111.58174693776803</v>
      </c>
      <c r="H35" s="32">
        <f t="shared" si="3"/>
        <v>51.372674470800405</v>
      </c>
    </row>
    <row r="36" spans="1:8" ht="30" x14ac:dyDescent="0.25">
      <c r="A36" s="13">
        <v>3133</v>
      </c>
      <c r="B36" s="6" t="s">
        <v>43</v>
      </c>
      <c r="C36" s="37">
        <v>12750</v>
      </c>
      <c r="D36" s="37">
        <v>0</v>
      </c>
      <c r="E36" s="37"/>
      <c r="F36" s="37">
        <v>2142</v>
      </c>
      <c r="G36" s="32">
        <f t="shared" si="2"/>
        <v>16.8</v>
      </c>
      <c r="H36" s="32"/>
    </row>
    <row r="37" spans="1:8" s="18" customFormat="1" x14ac:dyDescent="0.25">
      <c r="A37" s="3">
        <v>32</v>
      </c>
      <c r="B37" s="7" t="s">
        <v>100</v>
      </c>
      <c r="C37" s="39">
        <v>3118438</v>
      </c>
      <c r="D37" s="39"/>
      <c r="E37" s="39"/>
      <c r="F37" s="39">
        <v>1587317</v>
      </c>
      <c r="G37" s="32">
        <f t="shared" si="2"/>
        <v>50.901028014666316</v>
      </c>
      <c r="H37" s="32"/>
    </row>
    <row r="38" spans="1:8" s="18" customFormat="1" x14ac:dyDescent="0.25">
      <c r="A38" s="3">
        <v>321</v>
      </c>
      <c r="B38" s="7" t="s">
        <v>44</v>
      </c>
      <c r="C38" s="39">
        <v>165550</v>
      </c>
      <c r="D38" s="39">
        <f>SUM(D39:D42)</f>
        <v>440310</v>
      </c>
      <c r="E38" s="39"/>
      <c r="F38" s="39">
        <v>347222</v>
      </c>
      <c r="G38" s="32">
        <f t="shared" si="2"/>
        <v>209.73844759891273</v>
      </c>
      <c r="H38" s="32">
        <f t="shared" si="3"/>
        <v>78.858531489178077</v>
      </c>
    </row>
    <row r="39" spans="1:8" x14ac:dyDescent="0.25">
      <c r="A39" s="13">
        <v>3211</v>
      </c>
      <c r="B39" s="5" t="s">
        <v>45</v>
      </c>
      <c r="C39" s="37">
        <v>1992</v>
      </c>
      <c r="D39" s="37">
        <f>20000+60000+3000</f>
        <v>83000</v>
      </c>
      <c r="E39" s="37"/>
      <c r="F39" s="37">
        <v>131318</v>
      </c>
      <c r="G39" s="32">
        <f t="shared" si="2"/>
        <v>6592.2690763052206</v>
      </c>
      <c r="H39" s="32">
        <f t="shared" si="3"/>
        <v>158.21445783132532</v>
      </c>
    </row>
    <row r="40" spans="1:8" ht="30" x14ac:dyDescent="0.25">
      <c r="A40" s="13">
        <v>3212</v>
      </c>
      <c r="B40" s="6" t="s">
        <v>46</v>
      </c>
      <c r="C40" s="37">
        <v>159390</v>
      </c>
      <c r="D40" s="37">
        <f>20000+943+4544+802+300000+453+2183+385</f>
        <v>329310</v>
      </c>
      <c r="E40" s="37"/>
      <c r="F40" s="37">
        <v>205722</v>
      </c>
      <c r="G40" s="32">
        <f t="shared" si="2"/>
        <v>129.06832298136646</v>
      </c>
      <c r="H40" s="32">
        <f t="shared" si="3"/>
        <v>62.470620388084171</v>
      </c>
    </row>
    <row r="41" spans="1:8" x14ac:dyDescent="0.25">
      <c r="A41" s="13">
        <v>3213</v>
      </c>
      <c r="B41" s="6" t="s">
        <v>49</v>
      </c>
      <c r="C41" s="37">
        <v>650</v>
      </c>
      <c r="D41" s="37">
        <f>3000</f>
        <v>3000</v>
      </c>
      <c r="E41" s="37"/>
      <c r="F41" s="37">
        <v>2506</v>
      </c>
      <c r="G41" s="32">
        <f t="shared" si="2"/>
        <v>385.53846153846155</v>
      </c>
      <c r="H41" s="32">
        <f t="shared" si="3"/>
        <v>83.533333333333331</v>
      </c>
    </row>
    <row r="42" spans="1:8" x14ac:dyDescent="0.25">
      <c r="A42" s="13">
        <v>3214</v>
      </c>
      <c r="B42" s="6" t="s">
        <v>50</v>
      </c>
      <c r="C42" s="37">
        <v>3518</v>
      </c>
      <c r="D42" s="37">
        <f>10000+15000</f>
        <v>25000</v>
      </c>
      <c r="E42" s="37"/>
      <c r="F42" s="37">
        <v>7675</v>
      </c>
      <c r="G42" s="32">
        <f t="shared" si="2"/>
        <v>218.1637293916998</v>
      </c>
      <c r="H42" s="32">
        <f t="shared" si="3"/>
        <v>30.7</v>
      </c>
    </row>
    <row r="43" spans="1:8" s="18" customFormat="1" x14ac:dyDescent="0.25">
      <c r="A43" s="3">
        <v>322</v>
      </c>
      <c r="B43" s="7" t="s">
        <v>47</v>
      </c>
      <c r="C43" s="39">
        <f>SUM(C44:C49)</f>
        <v>561860</v>
      </c>
      <c r="D43" s="39">
        <f t="shared" ref="D43:F43" si="4">SUM(D44:D49)</f>
        <v>1573355</v>
      </c>
      <c r="E43" s="39">
        <f t="shared" si="4"/>
        <v>0</v>
      </c>
      <c r="F43" s="39">
        <f t="shared" si="4"/>
        <v>805849.17</v>
      </c>
      <c r="G43" s="32">
        <f t="shared" si="2"/>
        <v>143.42526074110989</v>
      </c>
      <c r="H43" s="32">
        <f t="shared" si="3"/>
        <v>51.218521566969955</v>
      </c>
    </row>
    <row r="44" spans="1:8" x14ac:dyDescent="0.25">
      <c r="A44" s="13">
        <v>3221</v>
      </c>
      <c r="B44" s="21" t="s">
        <v>48</v>
      </c>
      <c r="C44" s="37">
        <v>70336</v>
      </c>
      <c r="D44" s="37">
        <f>220000+15000+10000+2000</f>
        <v>247000</v>
      </c>
      <c r="E44" s="37"/>
      <c r="F44" s="37">
        <v>93320</v>
      </c>
      <c r="G44" s="32">
        <f t="shared" si="2"/>
        <v>132.67743403093721</v>
      </c>
      <c r="H44" s="32">
        <f t="shared" si="3"/>
        <v>37.781376518218622</v>
      </c>
    </row>
    <row r="45" spans="1:8" x14ac:dyDescent="0.25">
      <c r="A45" s="13">
        <v>3222</v>
      </c>
      <c r="B45" s="6" t="s">
        <v>51</v>
      </c>
      <c r="C45" s="37">
        <v>240777</v>
      </c>
      <c r="D45" s="37">
        <f>8000+183750+451500+2000+147392+26010+3000</f>
        <v>821652</v>
      </c>
      <c r="E45" s="37"/>
      <c r="F45" s="37">
        <v>392850</v>
      </c>
      <c r="G45" s="32">
        <f t="shared" si="2"/>
        <v>163.15927185736177</v>
      </c>
      <c r="H45" s="32">
        <f t="shared" si="3"/>
        <v>47.812212469512637</v>
      </c>
    </row>
    <row r="46" spans="1:8" x14ac:dyDescent="0.25">
      <c r="A46" s="13">
        <v>3223</v>
      </c>
      <c r="B46" s="6" t="s">
        <v>52</v>
      </c>
      <c r="C46" s="37">
        <v>171374</v>
      </c>
      <c r="D46" s="37">
        <f>350000+19703</f>
        <v>369703</v>
      </c>
      <c r="E46" s="37"/>
      <c r="F46" s="37">
        <v>309069</v>
      </c>
      <c r="G46" s="32">
        <f t="shared" si="2"/>
        <v>180.34766067198058</v>
      </c>
      <c r="H46" s="32">
        <f t="shared" si="3"/>
        <v>83.599267520144551</v>
      </c>
    </row>
    <row r="47" spans="1:8" ht="30" x14ac:dyDescent="0.25">
      <c r="A47" s="13">
        <v>3224</v>
      </c>
      <c r="B47" s="6" t="s">
        <v>53</v>
      </c>
      <c r="C47" s="37">
        <v>6332</v>
      </c>
      <c r="D47" s="37">
        <f>15000</f>
        <v>15000</v>
      </c>
      <c r="E47" s="37"/>
      <c r="F47" s="37">
        <v>4925.17</v>
      </c>
      <c r="G47" s="32">
        <f t="shared" si="2"/>
        <v>77.782217308907136</v>
      </c>
      <c r="H47" s="32">
        <f t="shared" si="3"/>
        <v>32.834466666666664</v>
      </c>
    </row>
    <row r="48" spans="1:8" x14ac:dyDescent="0.25">
      <c r="A48" s="13">
        <v>3225</v>
      </c>
      <c r="B48" s="6" t="s">
        <v>54</v>
      </c>
      <c r="C48" s="37">
        <v>73041</v>
      </c>
      <c r="D48" s="37">
        <f>80000+25000</f>
        <v>105000</v>
      </c>
      <c r="E48" s="37"/>
      <c r="F48" s="37">
        <v>4776</v>
      </c>
      <c r="G48" s="32">
        <f t="shared" si="2"/>
        <v>6.5387932804863018</v>
      </c>
      <c r="H48" s="32">
        <f t="shared" si="3"/>
        <v>4.5485714285714289</v>
      </c>
    </row>
    <row r="49" spans="1:8" x14ac:dyDescent="0.25">
      <c r="A49" s="13">
        <v>3227</v>
      </c>
      <c r="B49" s="6" t="s">
        <v>55</v>
      </c>
      <c r="C49" s="37">
        <v>0</v>
      </c>
      <c r="D49" s="37">
        <v>15000</v>
      </c>
      <c r="E49" s="37"/>
      <c r="F49" s="37">
        <v>909</v>
      </c>
      <c r="G49" s="32">
        <v>0</v>
      </c>
      <c r="H49" s="32">
        <f t="shared" si="3"/>
        <v>6.0600000000000005</v>
      </c>
    </row>
    <row r="50" spans="1:8" s="18" customFormat="1" x14ac:dyDescent="0.25">
      <c r="A50" s="3">
        <v>323</v>
      </c>
      <c r="B50" s="8" t="s">
        <v>56</v>
      </c>
      <c r="C50" s="39">
        <f>SUM(C51:C59)</f>
        <v>138537</v>
      </c>
      <c r="D50" s="39"/>
      <c r="E50" s="39"/>
      <c r="F50" s="39">
        <v>286545</v>
      </c>
      <c r="G50" s="32">
        <f t="shared" si="2"/>
        <v>206.83644080642716</v>
      </c>
      <c r="H50" s="32" t="e">
        <f t="shared" si="3"/>
        <v>#DIV/0!</v>
      </c>
    </row>
    <row r="51" spans="1:8" x14ac:dyDescent="0.25">
      <c r="A51" s="13">
        <v>3231</v>
      </c>
      <c r="B51" s="6" t="s">
        <v>57</v>
      </c>
      <c r="C51" s="37">
        <v>24491</v>
      </c>
      <c r="D51" s="37">
        <f>40000+80000</f>
        <v>120000</v>
      </c>
      <c r="E51" s="37"/>
      <c r="F51" s="37">
        <v>146495</v>
      </c>
      <c r="G51" s="32">
        <f t="shared" si="2"/>
        <v>598.15850720672893</v>
      </c>
      <c r="H51" s="32">
        <f t="shared" si="3"/>
        <v>122.07916666666667</v>
      </c>
    </row>
    <row r="52" spans="1:8" x14ac:dyDescent="0.25">
      <c r="A52" s="13">
        <v>3232</v>
      </c>
      <c r="B52" s="6" t="s">
        <v>58</v>
      </c>
      <c r="C52" s="37">
        <v>21080</v>
      </c>
      <c r="D52" s="37">
        <f>40000+45000</f>
        <v>85000</v>
      </c>
      <c r="E52" s="37"/>
      <c r="F52" s="37">
        <v>11937</v>
      </c>
      <c r="G52" s="32">
        <f t="shared" si="2"/>
        <v>56.627134724857683</v>
      </c>
      <c r="H52" s="32">
        <f t="shared" si="3"/>
        <v>14.043529411764705</v>
      </c>
    </row>
    <row r="53" spans="1:8" x14ac:dyDescent="0.25">
      <c r="A53" s="13">
        <v>3233</v>
      </c>
      <c r="B53" s="6" t="s">
        <v>59</v>
      </c>
      <c r="C53" s="37">
        <v>11830</v>
      </c>
      <c r="D53" s="37">
        <f>1000+50000</f>
        <v>51000</v>
      </c>
      <c r="E53" s="37"/>
      <c r="F53" s="37">
        <v>-946</v>
      </c>
      <c r="G53" s="32">
        <f t="shared" si="2"/>
        <v>-7.9966187658495347</v>
      </c>
      <c r="H53" s="32">
        <f t="shared" si="3"/>
        <v>-1.8549019607843138</v>
      </c>
    </row>
    <row r="54" spans="1:8" x14ac:dyDescent="0.25">
      <c r="A54" s="13">
        <v>3234</v>
      </c>
      <c r="B54" s="6" t="s">
        <v>60</v>
      </c>
      <c r="C54" s="37">
        <v>25694</v>
      </c>
      <c r="D54" s="37">
        <v>55000</v>
      </c>
      <c r="E54" s="37"/>
      <c r="F54" s="37">
        <v>28097</v>
      </c>
      <c r="G54" s="32">
        <f t="shared" si="2"/>
        <v>109.35237798707868</v>
      </c>
      <c r="H54" s="32">
        <f t="shared" si="3"/>
        <v>51.085454545454546</v>
      </c>
    </row>
    <row r="55" spans="1:8" x14ac:dyDescent="0.25">
      <c r="A55" s="13">
        <v>3235</v>
      </c>
      <c r="B55" s="6" t="s">
        <v>120</v>
      </c>
      <c r="C55" s="37">
        <v>6000</v>
      </c>
      <c r="D55" s="37">
        <v>12500</v>
      </c>
      <c r="E55" s="37"/>
      <c r="F55" s="37">
        <v>6870</v>
      </c>
      <c r="G55" s="32">
        <f t="shared" si="2"/>
        <v>114.5</v>
      </c>
      <c r="H55" s="32">
        <f t="shared" si="3"/>
        <v>54.96</v>
      </c>
    </row>
    <row r="56" spans="1:8" x14ac:dyDescent="0.25">
      <c r="A56" s="13">
        <v>3236</v>
      </c>
      <c r="B56" s="6" t="s">
        <v>62</v>
      </c>
      <c r="C56" s="37">
        <v>9069</v>
      </c>
      <c r="D56" s="37">
        <v>40000</v>
      </c>
      <c r="E56" s="37"/>
      <c r="F56" s="37">
        <v>17861</v>
      </c>
      <c r="G56" s="32">
        <f t="shared" si="2"/>
        <v>196.94563898996583</v>
      </c>
      <c r="H56" s="32">
        <f t="shared" si="3"/>
        <v>44.652500000000003</v>
      </c>
    </row>
    <row r="57" spans="1:8" x14ac:dyDescent="0.25">
      <c r="A57" s="13">
        <v>3237</v>
      </c>
      <c r="B57" s="6" t="s">
        <v>63</v>
      </c>
      <c r="C57" s="37">
        <v>15269</v>
      </c>
      <c r="D57" s="37">
        <v>80000</v>
      </c>
      <c r="E57" s="37"/>
      <c r="F57" s="37">
        <v>21354</v>
      </c>
      <c r="G57" s="32">
        <f t="shared" si="2"/>
        <v>139.85198768747136</v>
      </c>
      <c r="H57" s="32">
        <f t="shared" si="3"/>
        <v>26.692500000000003</v>
      </c>
    </row>
    <row r="58" spans="1:8" x14ac:dyDescent="0.25">
      <c r="A58" s="13">
        <v>3238</v>
      </c>
      <c r="B58" s="6" t="s">
        <v>64</v>
      </c>
      <c r="C58" s="37">
        <v>17830</v>
      </c>
      <c r="D58" s="37">
        <f>30000+15000+15000+20000</f>
        <v>80000</v>
      </c>
      <c r="E58" s="37"/>
      <c r="F58" s="37">
        <v>33801</v>
      </c>
      <c r="G58" s="32">
        <f t="shared" si="2"/>
        <v>189.57375210319688</v>
      </c>
      <c r="H58" s="32">
        <f t="shared" si="3"/>
        <v>42.251249999999999</v>
      </c>
    </row>
    <row r="59" spans="1:8" x14ac:dyDescent="0.25">
      <c r="A59" s="13">
        <v>3239</v>
      </c>
      <c r="B59" s="6" t="s">
        <v>65</v>
      </c>
      <c r="C59" s="37">
        <v>7274</v>
      </c>
      <c r="D59" s="37">
        <f>20000</f>
        <v>20000</v>
      </c>
      <c r="E59" s="37"/>
      <c r="F59" s="37">
        <v>21072</v>
      </c>
      <c r="G59" s="32">
        <f t="shared" si="2"/>
        <v>289.68930437173498</v>
      </c>
      <c r="H59" s="32">
        <f t="shared" si="3"/>
        <v>105.36000000000001</v>
      </c>
    </row>
    <row r="60" spans="1:8" s="18" customFormat="1" ht="30" x14ac:dyDescent="0.25">
      <c r="A60" s="3">
        <v>324</v>
      </c>
      <c r="B60" s="8" t="s">
        <v>66</v>
      </c>
      <c r="C60" s="39">
        <v>472</v>
      </c>
      <c r="D60" s="39"/>
      <c r="E60" s="39"/>
      <c r="F60" s="39">
        <v>2967</v>
      </c>
      <c r="G60" s="32">
        <f t="shared" si="2"/>
        <v>628.60169491525426</v>
      </c>
      <c r="H60" s="32"/>
    </row>
    <row r="61" spans="1:8" ht="30" x14ac:dyDescent="0.25">
      <c r="A61" s="13">
        <v>3241</v>
      </c>
      <c r="B61" s="6" t="s">
        <v>66</v>
      </c>
      <c r="C61" s="37">
        <v>472</v>
      </c>
      <c r="D61" s="37"/>
      <c r="E61" s="37"/>
      <c r="F61" s="37">
        <v>2967</v>
      </c>
      <c r="G61" s="32">
        <f t="shared" si="2"/>
        <v>628.60169491525426</v>
      </c>
      <c r="H61" s="32"/>
    </row>
    <row r="62" spans="1:8" s="18" customFormat="1" x14ac:dyDescent="0.25">
      <c r="A62" s="3">
        <v>329</v>
      </c>
      <c r="B62" s="8" t="s">
        <v>67</v>
      </c>
      <c r="C62" s="39">
        <v>14977</v>
      </c>
      <c r="D62" s="39">
        <f>SUM(D64:D69)</f>
        <v>440300</v>
      </c>
      <c r="E62" s="39"/>
      <c r="F62" s="39">
        <v>144733</v>
      </c>
      <c r="G62" s="32">
        <f t="shared" si="2"/>
        <v>966.3684315951125</v>
      </c>
      <c r="H62" s="32">
        <f t="shared" si="3"/>
        <v>32.87145128321599</v>
      </c>
    </row>
    <row r="63" spans="1:8" x14ac:dyDescent="0.25">
      <c r="A63" s="13">
        <v>3291</v>
      </c>
      <c r="B63" s="6" t="s">
        <v>68</v>
      </c>
      <c r="C63" s="37"/>
      <c r="D63" s="37"/>
      <c r="E63" s="37"/>
      <c r="F63" s="37"/>
      <c r="G63" s="32">
        <v>0</v>
      </c>
      <c r="H63" s="32">
        <v>0</v>
      </c>
    </row>
    <row r="64" spans="1:8" x14ac:dyDescent="0.25">
      <c r="A64" s="13">
        <v>3292</v>
      </c>
      <c r="B64" s="6" t="s">
        <v>69</v>
      </c>
      <c r="C64" s="37">
        <v>0</v>
      </c>
      <c r="D64" s="37">
        <v>31000</v>
      </c>
      <c r="E64" s="37"/>
      <c r="F64" s="37">
        <v>0</v>
      </c>
      <c r="G64" s="32">
        <v>0</v>
      </c>
      <c r="H64" s="32">
        <f t="shared" si="3"/>
        <v>0</v>
      </c>
    </row>
    <row r="65" spans="1:8" x14ac:dyDescent="0.25">
      <c r="A65" s="13">
        <v>3293</v>
      </c>
      <c r="B65" s="6" t="s">
        <v>70</v>
      </c>
      <c r="C65" s="37">
        <v>279</v>
      </c>
      <c r="D65" s="37">
        <v>6000</v>
      </c>
      <c r="E65" s="37"/>
      <c r="F65" s="37">
        <v>11625</v>
      </c>
      <c r="G65" s="32">
        <f t="shared" si="2"/>
        <v>4166.6666666666661</v>
      </c>
      <c r="H65" s="32">
        <f t="shared" si="3"/>
        <v>193.75</v>
      </c>
    </row>
    <row r="66" spans="1:8" x14ac:dyDescent="0.25">
      <c r="A66" s="13">
        <v>3294</v>
      </c>
      <c r="B66" s="6" t="s">
        <v>71</v>
      </c>
      <c r="C66" s="37">
        <v>300</v>
      </c>
      <c r="D66" s="37">
        <f>1000</f>
        <v>1000</v>
      </c>
      <c r="E66" s="37"/>
      <c r="F66" s="37">
        <v>400</v>
      </c>
      <c r="G66" s="32">
        <f t="shared" si="2"/>
        <v>133.33333333333331</v>
      </c>
      <c r="H66" s="32">
        <f t="shared" si="3"/>
        <v>40</v>
      </c>
    </row>
    <row r="67" spans="1:8" x14ac:dyDescent="0.25">
      <c r="A67" s="13">
        <v>3295</v>
      </c>
      <c r="B67" s="6" t="s">
        <v>72</v>
      </c>
      <c r="C67" s="37">
        <v>93</v>
      </c>
      <c r="D67" s="37">
        <f>300+30000</f>
        <v>30300</v>
      </c>
      <c r="E67" s="37"/>
      <c r="F67" s="37">
        <v>27630</v>
      </c>
      <c r="G67" s="32">
        <f t="shared" si="2"/>
        <v>29709.677419354841</v>
      </c>
      <c r="H67" s="32">
        <f t="shared" si="3"/>
        <v>91.188118811881196</v>
      </c>
    </row>
    <row r="68" spans="1:8" x14ac:dyDescent="0.25">
      <c r="A68" s="13">
        <v>3296</v>
      </c>
      <c r="B68" s="6" t="s">
        <v>73</v>
      </c>
      <c r="C68" s="37"/>
      <c r="D68" s="37">
        <v>317000</v>
      </c>
      <c r="E68" s="37"/>
      <c r="F68" s="37">
        <v>61066</v>
      </c>
      <c r="G68" s="32">
        <v>0</v>
      </c>
      <c r="H68" s="32">
        <f t="shared" si="3"/>
        <v>19.263722397476339</v>
      </c>
    </row>
    <row r="69" spans="1:8" x14ac:dyDescent="0.25">
      <c r="A69" s="13">
        <v>3299</v>
      </c>
      <c r="B69" s="6" t="s">
        <v>67</v>
      </c>
      <c r="C69" s="37">
        <v>14305</v>
      </c>
      <c r="D69" s="37">
        <f>5000+15000+15000+10000+10000</f>
        <v>55000</v>
      </c>
      <c r="E69" s="37"/>
      <c r="F69" s="37">
        <v>44011</v>
      </c>
      <c r="G69" s="32">
        <f t="shared" si="2"/>
        <v>307.66165676336948</v>
      </c>
      <c r="H69" s="32">
        <f t="shared" si="3"/>
        <v>80.02</v>
      </c>
    </row>
    <row r="70" spans="1:8" s="18" customFormat="1" x14ac:dyDescent="0.25">
      <c r="A70" s="3">
        <v>34</v>
      </c>
      <c r="B70" s="8" t="s">
        <v>74</v>
      </c>
      <c r="C70" s="39">
        <v>1990</v>
      </c>
      <c r="D70" s="39">
        <v>27700</v>
      </c>
      <c r="E70" s="39"/>
      <c r="F70" s="39">
        <v>40300</v>
      </c>
      <c r="G70" s="32">
        <f t="shared" si="2"/>
        <v>2025.1256281407034</v>
      </c>
      <c r="H70" s="32">
        <f t="shared" si="3"/>
        <v>145.48736462093862</v>
      </c>
    </row>
    <row r="71" spans="1:8" s="18" customFormat="1" x14ac:dyDescent="0.25">
      <c r="A71" s="3">
        <v>343</v>
      </c>
      <c r="B71" s="8" t="s">
        <v>75</v>
      </c>
      <c r="C71" s="39">
        <v>1990</v>
      </c>
      <c r="D71" s="39">
        <f>SUM(D72:D74)</f>
        <v>91700</v>
      </c>
      <c r="E71" s="39"/>
      <c r="F71" s="39">
        <v>40300</v>
      </c>
      <c r="G71" s="32">
        <f t="shared" si="2"/>
        <v>2025.1256281407034</v>
      </c>
      <c r="H71" s="32">
        <f t="shared" si="3"/>
        <v>43.947655398037078</v>
      </c>
    </row>
    <row r="72" spans="1:8" x14ac:dyDescent="0.25">
      <c r="A72" s="13">
        <v>3431</v>
      </c>
      <c r="B72" s="6" t="s">
        <v>76</v>
      </c>
      <c r="C72" s="37">
        <v>1761</v>
      </c>
      <c r="D72" s="37">
        <f>500+8000</f>
        <v>8500</v>
      </c>
      <c r="E72" s="37"/>
      <c r="F72" s="37">
        <v>3365</v>
      </c>
      <c r="G72" s="32">
        <f t="shared" si="2"/>
        <v>191.08461101646793</v>
      </c>
      <c r="H72" s="32">
        <f t="shared" si="3"/>
        <v>39.588235294117645</v>
      </c>
    </row>
    <row r="73" spans="1:8" x14ac:dyDescent="0.25">
      <c r="A73" s="13">
        <v>3433</v>
      </c>
      <c r="B73" s="6" t="s">
        <v>77</v>
      </c>
      <c r="C73" s="37"/>
      <c r="D73" s="37">
        <v>83000</v>
      </c>
      <c r="E73" s="37"/>
      <c r="F73" s="37">
        <v>19058</v>
      </c>
      <c r="G73" s="32"/>
      <c r="H73" s="32">
        <f t="shared" si="3"/>
        <v>22.961445783132532</v>
      </c>
    </row>
    <row r="74" spans="1:8" x14ac:dyDescent="0.25">
      <c r="A74" s="13">
        <v>3434</v>
      </c>
      <c r="B74" s="6" t="s">
        <v>78</v>
      </c>
      <c r="C74" s="37">
        <v>228</v>
      </c>
      <c r="D74" s="37">
        <f>200</f>
        <v>200</v>
      </c>
      <c r="E74" s="37"/>
      <c r="F74" s="37">
        <v>17876</v>
      </c>
      <c r="G74" s="32">
        <f t="shared" si="2"/>
        <v>7840.3508771929819</v>
      </c>
      <c r="H74" s="32">
        <f t="shared" si="3"/>
        <v>8938</v>
      </c>
    </row>
    <row r="75" spans="1:8" s="18" customFormat="1" ht="30" x14ac:dyDescent="0.25">
      <c r="A75" s="3">
        <v>372</v>
      </c>
      <c r="B75" s="8" t="s">
        <v>111</v>
      </c>
      <c r="C75" s="39">
        <v>9401</v>
      </c>
      <c r="D75" s="39">
        <f>SUM(D76:D77)</f>
        <v>75000</v>
      </c>
      <c r="E75" s="39"/>
      <c r="F75" s="39">
        <v>74220</v>
      </c>
      <c r="G75" s="32">
        <f t="shared" si="2"/>
        <v>789.49047973619827</v>
      </c>
      <c r="H75" s="32">
        <f t="shared" si="3"/>
        <v>98.960000000000008</v>
      </c>
    </row>
    <row r="76" spans="1:8" x14ac:dyDescent="0.25">
      <c r="A76" s="13">
        <v>3721</v>
      </c>
      <c r="B76" s="6" t="s">
        <v>112</v>
      </c>
      <c r="C76" s="37">
        <v>8981</v>
      </c>
      <c r="D76" s="37">
        <f>5000+10000</f>
        <v>15000</v>
      </c>
      <c r="E76" s="37"/>
      <c r="F76" s="37">
        <v>5800</v>
      </c>
      <c r="G76" s="32">
        <f t="shared" si="2"/>
        <v>64.580781650150314</v>
      </c>
      <c r="H76" s="32">
        <f t="shared" si="3"/>
        <v>38.666666666666664</v>
      </c>
    </row>
    <row r="77" spans="1:8" x14ac:dyDescent="0.25">
      <c r="A77" s="13">
        <v>3722</v>
      </c>
      <c r="B77" s="6" t="s">
        <v>81</v>
      </c>
      <c r="C77" s="37">
        <v>420</v>
      </c>
      <c r="D77" s="37">
        <f>60000</f>
        <v>60000</v>
      </c>
      <c r="E77" s="37"/>
      <c r="F77" s="37">
        <v>68419</v>
      </c>
      <c r="G77" s="32">
        <f t="shared" si="2"/>
        <v>16290.238095238095</v>
      </c>
      <c r="H77" s="32">
        <f t="shared" si="3"/>
        <v>114.03166666666667</v>
      </c>
    </row>
    <row r="78" spans="1:8" s="18" customFormat="1" x14ac:dyDescent="0.25">
      <c r="A78" s="3">
        <v>38</v>
      </c>
      <c r="B78" s="8" t="s">
        <v>113</v>
      </c>
      <c r="C78" s="39">
        <v>20000</v>
      </c>
      <c r="D78" s="39">
        <v>20000</v>
      </c>
      <c r="E78" s="39"/>
      <c r="F78" s="39">
        <v>400</v>
      </c>
      <c r="G78" s="32">
        <f t="shared" si="2"/>
        <v>2</v>
      </c>
      <c r="H78" s="54">
        <f t="shared" si="3"/>
        <v>2</v>
      </c>
    </row>
    <row r="79" spans="1:8" s="18" customFormat="1" x14ac:dyDescent="0.25">
      <c r="A79" s="3">
        <v>381</v>
      </c>
      <c r="B79" s="8" t="s">
        <v>82</v>
      </c>
      <c r="C79" s="39">
        <v>20000</v>
      </c>
      <c r="D79" s="39">
        <v>20000</v>
      </c>
      <c r="E79" s="39"/>
      <c r="F79" s="39">
        <v>400</v>
      </c>
      <c r="G79" s="32">
        <f t="shared" si="2"/>
        <v>2</v>
      </c>
      <c r="H79" s="54">
        <f t="shared" si="3"/>
        <v>2</v>
      </c>
    </row>
    <row r="80" spans="1:8" x14ac:dyDescent="0.25">
      <c r="A80" s="13">
        <v>3811</v>
      </c>
      <c r="B80" s="6" t="s">
        <v>83</v>
      </c>
      <c r="C80" s="37">
        <v>65959</v>
      </c>
      <c r="D80" s="37">
        <v>20000</v>
      </c>
      <c r="E80" s="37"/>
      <c r="F80" s="37">
        <v>400</v>
      </c>
      <c r="G80" s="32">
        <f t="shared" si="2"/>
        <v>0.60643733228217522</v>
      </c>
      <c r="H80" s="54">
        <f t="shared" si="3"/>
        <v>2</v>
      </c>
    </row>
    <row r="81" spans="1:8" x14ac:dyDescent="0.25">
      <c r="A81" s="13">
        <v>3812</v>
      </c>
      <c r="B81" s="6" t="s">
        <v>84</v>
      </c>
      <c r="C81" s="37"/>
      <c r="D81" s="37"/>
      <c r="E81" s="37"/>
      <c r="F81" s="37"/>
      <c r="G81" s="32"/>
      <c r="H81" s="32"/>
    </row>
    <row r="82" spans="1:8" s="18" customFormat="1" ht="30" x14ac:dyDescent="0.25">
      <c r="A82" s="3">
        <v>4</v>
      </c>
      <c r="B82" s="8" t="s">
        <v>91</v>
      </c>
      <c r="C82" s="39">
        <v>0</v>
      </c>
      <c r="D82" s="39">
        <v>38000</v>
      </c>
      <c r="E82" s="39"/>
      <c r="F82" s="39">
        <v>13639</v>
      </c>
      <c r="G82" s="32">
        <v>0</v>
      </c>
      <c r="H82" s="32">
        <f t="shared" si="3"/>
        <v>35.892105263157895</v>
      </c>
    </row>
    <row r="83" spans="1:8" s="18" customFormat="1" x14ac:dyDescent="0.25">
      <c r="A83" s="3">
        <v>421</v>
      </c>
      <c r="B83" s="8" t="s">
        <v>86</v>
      </c>
      <c r="C83" s="39"/>
      <c r="D83" s="39"/>
      <c r="E83" s="39"/>
      <c r="F83" s="39"/>
      <c r="G83" s="32"/>
      <c r="H83" s="32"/>
    </row>
    <row r="84" spans="1:8" s="18" customFormat="1" x14ac:dyDescent="0.25">
      <c r="A84" s="3">
        <v>422</v>
      </c>
      <c r="B84" s="8" t="s">
        <v>85</v>
      </c>
      <c r="C84" s="39">
        <v>0</v>
      </c>
      <c r="D84" s="39">
        <f>SUM(D85:D86)</f>
        <v>30000</v>
      </c>
      <c r="E84" s="39"/>
      <c r="F84" s="39">
        <v>10887</v>
      </c>
      <c r="G84" s="32">
        <v>0</v>
      </c>
      <c r="H84" s="32">
        <f t="shared" si="3"/>
        <v>36.29</v>
      </c>
    </row>
    <row r="85" spans="1:8" x14ac:dyDescent="0.25">
      <c r="A85" s="13">
        <v>4221</v>
      </c>
      <c r="B85" s="6" t="s">
        <v>87</v>
      </c>
      <c r="C85" s="37">
        <v>0</v>
      </c>
      <c r="D85" s="37">
        <f>30000</f>
        <v>30000</v>
      </c>
      <c r="E85" s="37"/>
      <c r="F85" s="37">
        <v>10887</v>
      </c>
      <c r="G85" s="32">
        <v>0</v>
      </c>
      <c r="H85" s="32">
        <f t="shared" si="3"/>
        <v>36.29</v>
      </c>
    </row>
    <row r="86" spans="1:8" x14ac:dyDescent="0.25">
      <c r="A86" s="13">
        <v>4222</v>
      </c>
      <c r="B86" s="6" t="s">
        <v>88</v>
      </c>
      <c r="C86" s="37"/>
      <c r="D86" s="37"/>
      <c r="E86" s="37"/>
      <c r="F86" s="37"/>
      <c r="G86" s="32"/>
      <c r="H86" s="32"/>
    </row>
    <row r="87" spans="1:8" s="18" customFormat="1" ht="30" x14ac:dyDescent="0.25">
      <c r="A87" s="3">
        <v>424</v>
      </c>
      <c r="B87" s="8" t="s">
        <v>89</v>
      </c>
      <c r="C87" s="39">
        <v>0</v>
      </c>
      <c r="D87" s="39">
        <v>8000</v>
      </c>
      <c r="E87" s="39"/>
      <c r="F87" s="39">
        <v>2751</v>
      </c>
      <c r="G87" s="32">
        <v>0</v>
      </c>
      <c r="H87" s="54">
        <f t="shared" si="3"/>
        <v>34.387499999999996</v>
      </c>
    </row>
    <row r="88" spans="1:8" x14ac:dyDescent="0.25">
      <c r="A88" s="13">
        <v>4241</v>
      </c>
      <c r="B88" s="6" t="s">
        <v>90</v>
      </c>
      <c r="C88" s="37">
        <v>0</v>
      </c>
      <c r="D88" s="37">
        <v>8000</v>
      </c>
      <c r="E88" s="37"/>
      <c r="F88" s="37">
        <v>2751</v>
      </c>
      <c r="G88" s="32">
        <v>0</v>
      </c>
      <c r="H88" s="54">
        <f t="shared" si="3"/>
        <v>34.387499999999996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2"/>
  <sheetViews>
    <sheetView workbookViewId="0">
      <selection activeCell="E6" sqref="E6"/>
    </sheetView>
  </sheetViews>
  <sheetFormatPr defaultRowHeight="15" x14ac:dyDescent="0.25"/>
  <cols>
    <col min="1" max="1" width="10.85546875" style="10" customWidth="1"/>
    <col min="2" max="2" width="50.7109375" customWidth="1"/>
    <col min="3" max="4" width="16.5703125" style="45" customWidth="1"/>
    <col min="5" max="5" width="17" style="45" customWidth="1"/>
    <col min="6" max="6" width="14.28515625" style="45" customWidth="1"/>
  </cols>
  <sheetData>
    <row r="1" spans="1:6" ht="15.75" x14ac:dyDescent="0.25">
      <c r="A1" s="11"/>
      <c r="B1" s="18" t="s">
        <v>93</v>
      </c>
    </row>
    <row r="2" spans="1:6" ht="15.75" x14ac:dyDescent="0.25">
      <c r="A2" s="12" t="s">
        <v>146</v>
      </c>
    </row>
    <row r="3" spans="1:6" ht="15.75" x14ac:dyDescent="0.25">
      <c r="A3" s="12"/>
    </row>
    <row r="4" spans="1:6" x14ac:dyDescent="0.25">
      <c r="A4" s="24" t="s">
        <v>141</v>
      </c>
    </row>
    <row r="5" spans="1:6" ht="51.75" x14ac:dyDescent="0.25">
      <c r="A5" s="3" t="s">
        <v>18</v>
      </c>
      <c r="B5" s="2" t="s">
        <v>19</v>
      </c>
      <c r="C5" s="46" t="s">
        <v>150</v>
      </c>
      <c r="D5" s="46" t="s">
        <v>157</v>
      </c>
      <c r="E5" s="35" t="s">
        <v>161</v>
      </c>
      <c r="F5" s="42" t="s">
        <v>20</v>
      </c>
    </row>
    <row r="6" spans="1:6" x14ac:dyDescent="0.25">
      <c r="A6" s="13"/>
      <c r="B6" s="14">
        <v>1</v>
      </c>
      <c r="C6" s="47">
        <v>2</v>
      </c>
      <c r="D6" s="47">
        <v>3</v>
      </c>
      <c r="E6" s="47">
        <v>4</v>
      </c>
      <c r="F6" s="36" t="s">
        <v>118</v>
      </c>
    </row>
    <row r="7" spans="1:6" ht="30" x14ac:dyDescent="0.25">
      <c r="A7" s="20">
        <v>67</v>
      </c>
      <c r="B7" s="15" t="s">
        <v>25</v>
      </c>
      <c r="C7" s="44">
        <f>1365000+36255</f>
        <v>1401255</v>
      </c>
      <c r="D7" s="44"/>
      <c r="E7" s="44">
        <v>993567</v>
      </c>
      <c r="F7" s="44">
        <f>E7/C7*100</f>
        <v>70.905509703801243</v>
      </c>
    </row>
    <row r="8" spans="1:6" ht="30" x14ac:dyDescent="0.25">
      <c r="A8" s="13">
        <v>6711</v>
      </c>
      <c r="B8" s="6" t="s">
        <v>23</v>
      </c>
      <c r="C8" s="44">
        <v>1401255</v>
      </c>
      <c r="D8" s="44"/>
      <c r="E8" s="44">
        <v>993567</v>
      </c>
      <c r="F8" s="44">
        <f t="shared" ref="F8:F42" si="0">E8/C8*100</f>
        <v>70.905509703801243</v>
      </c>
    </row>
    <row r="9" spans="1:6" ht="30" x14ac:dyDescent="0.25">
      <c r="A9" s="13">
        <v>6712</v>
      </c>
      <c r="B9" s="6" t="s">
        <v>24</v>
      </c>
      <c r="C9" s="44">
        <v>0</v>
      </c>
      <c r="D9" s="44"/>
      <c r="E9" s="44">
        <v>0</v>
      </c>
      <c r="F9" s="44" t="s">
        <v>119</v>
      </c>
    </row>
    <row r="10" spans="1:6" s="18" customFormat="1" x14ac:dyDescent="0.25">
      <c r="A10" s="3"/>
      <c r="B10" s="50" t="s">
        <v>136</v>
      </c>
      <c r="C10" s="43">
        <v>1401255</v>
      </c>
      <c r="D10" s="43"/>
      <c r="E10" s="43">
        <v>993567</v>
      </c>
      <c r="F10" s="44">
        <f t="shared" si="0"/>
        <v>70.905509703801243</v>
      </c>
    </row>
    <row r="11" spans="1:6" x14ac:dyDescent="0.25">
      <c r="A11" s="23" t="s">
        <v>140</v>
      </c>
      <c r="B11" s="22"/>
      <c r="C11" s="44"/>
      <c r="D11" s="44"/>
      <c r="E11" s="44"/>
      <c r="F11" s="44" t="s">
        <v>119</v>
      </c>
    </row>
    <row r="12" spans="1:6" s="19" customFormat="1" x14ac:dyDescent="0.25">
      <c r="A12" s="51">
        <v>64</v>
      </c>
      <c r="B12" s="52" t="s">
        <v>117</v>
      </c>
      <c r="C12" s="53"/>
      <c r="D12" s="53"/>
      <c r="E12" s="53">
        <v>6</v>
      </c>
      <c r="F12" s="44" t="s">
        <v>119</v>
      </c>
    </row>
    <row r="13" spans="1:6" x14ac:dyDescent="0.25">
      <c r="A13" s="13">
        <v>641</v>
      </c>
      <c r="B13" s="15" t="s">
        <v>107</v>
      </c>
      <c r="C13" s="44"/>
      <c r="D13" s="44"/>
      <c r="E13" s="44">
        <v>6</v>
      </c>
      <c r="F13" s="44" t="s">
        <v>119</v>
      </c>
    </row>
    <row r="14" spans="1:6" ht="30" x14ac:dyDescent="0.25">
      <c r="A14" s="3">
        <v>66</v>
      </c>
      <c r="B14" s="8" t="s">
        <v>26</v>
      </c>
      <c r="C14" s="44">
        <v>60000</v>
      </c>
      <c r="D14" s="44"/>
      <c r="E14" s="44">
        <v>57785</v>
      </c>
      <c r="F14" s="44">
        <f t="shared" si="0"/>
        <v>96.308333333333323</v>
      </c>
    </row>
    <row r="15" spans="1:6" x14ac:dyDescent="0.25">
      <c r="A15" s="13">
        <v>661</v>
      </c>
      <c r="B15" s="15" t="s">
        <v>27</v>
      </c>
      <c r="C15" s="44">
        <v>30000</v>
      </c>
      <c r="D15" s="44"/>
      <c r="E15" s="44">
        <v>56400</v>
      </c>
      <c r="F15" s="44">
        <f t="shared" si="0"/>
        <v>188</v>
      </c>
    </row>
    <row r="16" spans="1:6" x14ac:dyDescent="0.25">
      <c r="A16" s="13">
        <v>663</v>
      </c>
      <c r="B16" s="15" t="s">
        <v>82</v>
      </c>
      <c r="C16" s="44">
        <v>30000</v>
      </c>
      <c r="D16" s="44"/>
      <c r="E16" s="44">
        <v>1385</v>
      </c>
      <c r="F16" s="44">
        <f t="shared" si="0"/>
        <v>4.6166666666666671</v>
      </c>
    </row>
    <row r="17" spans="1:6" s="18" customFormat="1" x14ac:dyDescent="0.25">
      <c r="A17" s="3">
        <v>72</v>
      </c>
      <c r="B17" s="8" t="s">
        <v>109</v>
      </c>
      <c r="C17" s="43">
        <v>0</v>
      </c>
      <c r="D17" s="43"/>
      <c r="E17" s="43">
        <v>0</v>
      </c>
      <c r="F17" s="44">
        <v>0</v>
      </c>
    </row>
    <row r="18" spans="1:6" x14ac:dyDescent="0.25">
      <c r="A18" s="13">
        <v>721</v>
      </c>
      <c r="B18" s="15" t="s">
        <v>110</v>
      </c>
      <c r="C18" s="44">
        <v>0</v>
      </c>
      <c r="D18" s="44"/>
      <c r="E18" s="44">
        <v>0</v>
      </c>
      <c r="F18" s="44">
        <v>0</v>
      </c>
    </row>
    <row r="19" spans="1:6" x14ac:dyDescent="0.25">
      <c r="A19" s="13"/>
      <c r="B19" s="22" t="s">
        <v>92</v>
      </c>
      <c r="C19" s="44">
        <v>60000</v>
      </c>
      <c r="D19" s="44"/>
      <c r="E19" s="44">
        <v>57785</v>
      </c>
      <c r="F19" s="44">
        <f t="shared" si="0"/>
        <v>96.308333333333323</v>
      </c>
    </row>
    <row r="20" spans="1:6" x14ac:dyDescent="0.25">
      <c r="A20" s="23" t="s">
        <v>135</v>
      </c>
      <c r="B20" s="15"/>
      <c r="C20" s="44"/>
      <c r="D20" s="44"/>
      <c r="E20" s="44"/>
      <c r="F20" s="44" t="s">
        <v>119</v>
      </c>
    </row>
    <row r="21" spans="1:6" x14ac:dyDescent="0.25">
      <c r="A21" s="3">
        <v>652</v>
      </c>
      <c r="B21" s="8" t="s">
        <v>28</v>
      </c>
      <c r="C21" s="44">
        <v>945250</v>
      </c>
      <c r="D21" s="44"/>
      <c r="E21" s="44">
        <v>494246</v>
      </c>
      <c r="F21" s="44">
        <f t="shared" si="0"/>
        <v>52.287331393811165</v>
      </c>
    </row>
    <row r="22" spans="1:6" x14ac:dyDescent="0.25">
      <c r="A22" s="13">
        <v>65264</v>
      </c>
      <c r="B22" s="15" t="s">
        <v>29</v>
      </c>
      <c r="C22" s="44">
        <v>945250</v>
      </c>
      <c r="D22" s="44"/>
      <c r="E22" s="44">
        <v>470823</v>
      </c>
      <c r="F22" s="44">
        <f t="shared" si="0"/>
        <v>49.809362602486111</v>
      </c>
    </row>
    <row r="23" spans="1:6" x14ac:dyDescent="0.25">
      <c r="A23" s="13"/>
      <c r="B23" s="22" t="s">
        <v>137</v>
      </c>
      <c r="C23" s="44">
        <v>945250</v>
      </c>
      <c r="D23" s="44"/>
      <c r="E23" s="44">
        <v>494246</v>
      </c>
      <c r="F23" s="44">
        <f t="shared" si="0"/>
        <v>52.287331393811165</v>
      </c>
    </row>
    <row r="24" spans="1:6" x14ac:dyDescent="0.25">
      <c r="A24" s="23" t="s">
        <v>139</v>
      </c>
      <c r="B24" s="15"/>
      <c r="C24" s="44"/>
      <c r="D24" s="44"/>
      <c r="E24" s="44"/>
      <c r="F24" s="44" t="s">
        <v>119</v>
      </c>
    </row>
    <row r="25" spans="1:6" ht="30" x14ac:dyDescent="0.25">
      <c r="A25" s="3">
        <v>63</v>
      </c>
      <c r="B25" s="8" t="s">
        <v>30</v>
      </c>
      <c r="C25" s="44">
        <f>SUM(C27:C28)</f>
        <v>13365517</v>
      </c>
      <c r="D25" s="44"/>
      <c r="E25" s="44">
        <v>7019382</v>
      </c>
      <c r="F25" s="44">
        <f t="shared" si="0"/>
        <v>52.518596923710469</v>
      </c>
    </row>
    <row r="26" spans="1:6" ht="30" x14ac:dyDescent="0.25">
      <c r="A26" s="13">
        <v>633</v>
      </c>
      <c r="B26" s="15" t="s">
        <v>115</v>
      </c>
      <c r="C26" s="44">
        <f>30815+26010</f>
        <v>56825</v>
      </c>
      <c r="D26" s="44"/>
      <c r="E26" s="44">
        <v>19639</v>
      </c>
      <c r="F26" s="44" t="s">
        <v>119</v>
      </c>
    </row>
    <row r="27" spans="1:6" ht="30" x14ac:dyDescent="0.25">
      <c r="A27" s="13">
        <v>636</v>
      </c>
      <c r="B27" s="15" t="s">
        <v>32</v>
      </c>
      <c r="C27" s="44">
        <f>12705000</f>
        <v>12705000</v>
      </c>
      <c r="D27" s="44"/>
      <c r="E27" s="44">
        <v>6442820</v>
      </c>
      <c r="F27" s="44">
        <f t="shared" si="0"/>
        <v>50.710901219992131</v>
      </c>
    </row>
    <row r="28" spans="1:6" x14ac:dyDescent="0.25">
      <c r="A28" s="13">
        <v>638</v>
      </c>
      <c r="B28" s="15" t="s">
        <v>33</v>
      </c>
      <c r="C28" s="44">
        <f>338500+174625+147392</f>
        <v>660517</v>
      </c>
      <c r="D28" s="44"/>
      <c r="E28" s="44">
        <v>492311</v>
      </c>
      <c r="F28" s="44">
        <f t="shared" si="0"/>
        <v>74.53419064157319</v>
      </c>
    </row>
    <row r="29" spans="1:6" x14ac:dyDescent="0.25">
      <c r="A29" s="13"/>
      <c r="B29" s="22" t="s">
        <v>138</v>
      </c>
      <c r="C29" s="44">
        <f>SUM(C26:C28)</f>
        <v>13422342</v>
      </c>
      <c r="D29" s="44"/>
      <c r="E29" s="44">
        <v>7019382</v>
      </c>
      <c r="F29" s="44">
        <f t="shared" si="0"/>
        <v>52.29625351522111</v>
      </c>
    </row>
    <row r="30" spans="1:6" x14ac:dyDescent="0.25">
      <c r="A30" s="13"/>
      <c r="B30" s="15"/>
      <c r="C30" s="44"/>
      <c r="D30" s="44"/>
      <c r="E30" s="44"/>
      <c r="F30" s="44" t="s">
        <v>119</v>
      </c>
    </row>
    <row r="31" spans="1:6" ht="15.75" x14ac:dyDescent="0.25">
      <c r="A31" s="16" t="s">
        <v>35</v>
      </c>
      <c r="B31" s="5"/>
      <c r="C31" s="44">
        <f>C7+C19+C23+C29</f>
        <v>15828847</v>
      </c>
      <c r="D31" s="44"/>
      <c r="E31" s="44">
        <v>8564987</v>
      </c>
      <c r="F31" s="44">
        <f t="shared" si="0"/>
        <v>54.109986659167276</v>
      </c>
    </row>
    <row r="32" spans="1:6" ht="15.75" x14ac:dyDescent="0.25">
      <c r="A32" s="25"/>
      <c r="B32" s="26"/>
      <c r="C32" s="48"/>
      <c r="D32" s="48"/>
      <c r="E32" s="48"/>
      <c r="F32" s="44" t="s">
        <v>119</v>
      </c>
    </row>
    <row r="33" spans="1:6" x14ac:dyDescent="0.25">
      <c r="C33" s="49" t="s">
        <v>94</v>
      </c>
      <c r="F33" s="44"/>
    </row>
    <row r="34" spans="1:6" x14ac:dyDescent="0.25">
      <c r="A34" s="24" t="s">
        <v>114</v>
      </c>
      <c r="F34" s="44" t="s">
        <v>119</v>
      </c>
    </row>
    <row r="35" spans="1:6" ht="45" x14ac:dyDescent="0.25">
      <c r="A35" s="3" t="s">
        <v>18</v>
      </c>
      <c r="B35" s="2" t="s">
        <v>19</v>
      </c>
      <c r="C35" s="46" t="s">
        <v>150</v>
      </c>
      <c r="D35" s="46" t="s">
        <v>152</v>
      </c>
      <c r="E35" s="35" t="s">
        <v>153</v>
      </c>
      <c r="F35" s="42" t="s">
        <v>20</v>
      </c>
    </row>
    <row r="36" spans="1:6" x14ac:dyDescent="0.25">
      <c r="A36" s="13"/>
      <c r="B36" s="14">
        <v>1</v>
      </c>
      <c r="C36" s="47">
        <v>2</v>
      </c>
      <c r="D36" s="47">
        <v>3</v>
      </c>
      <c r="E36" s="47">
        <v>4</v>
      </c>
      <c r="F36" s="36" t="s">
        <v>118</v>
      </c>
    </row>
    <row r="37" spans="1:6" x14ac:dyDescent="0.25">
      <c r="A37" s="13" t="s">
        <v>95</v>
      </c>
      <c r="B37" s="5"/>
      <c r="C37" s="44">
        <v>169703</v>
      </c>
      <c r="D37" s="44"/>
      <c r="E37" s="44">
        <v>169703</v>
      </c>
      <c r="F37" s="44">
        <f t="shared" si="0"/>
        <v>100</v>
      </c>
    </row>
    <row r="38" spans="1:6" x14ac:dyDescent="0.25">
      <c r="A38" s="17" t="s">
        <v>96</v>
      </c>
      <c r="B38" s="5"/>
      <c r="C38" s="44">
        <v>169703</v>
      </c>
      <c r="D38" s="44"/>
      <c r="E38" s="44">
        <v>169703</v>
      </c>
      <c r="F38" s="44">
        <f t="shared" si="0"/>
        <v>100</v>
      </c>
    </row>
    <row r="39" spans="1:6" x14ac:dyDescent="0.25">
      <c r="A39" s="17" t="s">
        <v>97</v>
      </c>
      <c r="B39" s="5"/>
      <c r="C39" s="44">
        <v>169703</v>
      </c>
      <c r="D39" s="44"/>
      <c r="E39" s="44">
        <v>169703</v>
      </c>
      <c r="F39" s="44">
        <f t="shared" si="0"/>
        <v>100</v>
      </c>
    </row>
    <row r="40" spans="1:6" x14ac:dyDescent="0.25">
      <c r="F40" s="44" t="s">
        <v>119</v>
      </c>
    </row>
    <row r="41" spans="1:6" x14ac:dyDescent="0.25">
      <c r="A41" s="13"/>
      <c r="B41" s="5" t="s">
        <v>98</v>
      </c>
      <c r="C41" s="44">
        <v>15828847</v>
      </c>
      <c r="D41" s="44"/>
      <c r="E41" s="44">
        <v>8564987</v>
      </c>
      <c r="F41" s="44">
        <f t="shared" si="0"/>
        <v>54.109986659167276</v>
      </c>
    </row>
    <row r="42" spans="1:6" x14ac:dyDescent="0.25">
      <c r="A42" s="13"/>
      <c r="B42" s="5" t="s">
        <v>99</v>
      </c>
      <c r="C42" s="44">
        <f>C41+C39</f>
        <v>15998550</v>
      </c>
      <c r="D42" s="44"/>
      <c r="E42" s="44">
        <f>E41+E39</f>
        <v>8734690</v>
      </c>
      <c r="F42" s="44">
        <f t="shared" si="0"/>
        <v>54.596760331405036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D175"/>
  <sheetViews>
    <sheetView workbookViewId="0">
      <selection activeCell="D114" sqref="D114"/>
    </sheetView>
  </sheetViews>
  <sheetFormatPr defaultRowHeight="15" x14ac:dyDescent="0.25"/>
  <cols>
    <col min="1" max="1" width="10.85546875" style="10" customWidth="1"/>
    <col min="2" max="2" width="50.7109375" customWidth="1"/>
    <col min="3" max="3" width="14.5703125" style="45" customWidth="1"/>
    <col min="4" max="4" width="12.28515625" style="45" customWidth="1"/>
    <col min="5" max="5" width="15.42578125" style="45" customWidth="1"/>
    <col min="6" max="6" width="14.7109375" style="45" customWidth="1"/>
    <col min="7" max="7" width="0" hidden="1" customWidth="1"/>
    <col min="8" max="8" width="13.28515625" hidden="1" customWidth="1"/>
    <col min="9" max="15" width="0" hidden="1" customWidth="1"/>
  </cols>
  <sheetData>
    <row r="1" spans="1:8" ht="15.75" x14ac:dyDescent="0.25">
      <c r="A1" s="11"/>
      <c r="B1" s="18" t="s">
        <v>121</v>
      </c>
    </row>
    <row r="3" spans="1:8" x14ac:dyDescent="0.25">
      <c r="A3" s="24" t="s">
        <v>142</v>
      </c>
    </row>
    <row r="4" spans="1:8" ht="51.75" x14ac:dyDescent="0.25">
      <c r="A4" s="3" t="s">
        <v>18</v>
      </c>
      <c r="B4" s="2" t="s">
        <v>19</v>
      </c>
      <c r="C4" s="46" t="s">
        <v>150</v>
      </c>
      <c r="D4" s="46" t="s">
        <v>152</v>
      </c>
      <c r="E4" s="35" t="s">
        <v>162</v>
      </c>
      <c r="F4" s="42" t="s">
        <v>20</v>
      </c>
    </row>
    <row r="5" spans="1:8" ht="15.75" x14ac:dyDescent="0.25">
      <c r="A5" s="3"/>
      <c r="B5" s="2">
        <v>1</v>
      </c>
      <c r="C5" s="46">
        <v>2</v>
      </c>
      <c r="D5" s="46">
        <v>3</v>
      </c>
      <c r="E5" s="46">
        <v>4</v>
      </c>
      <c r="F5" s="42" t="s">
        <v>134</v>
      </c>
    </row>
    <row r="6" spans="1:8" x14ac:dyDescent="0.25">
      <c r="A6" s="3">
        <v>31</v>
      </c>
      <c r="B6" s="7" t="s">
        <v>37</v>
      </c>
      <c r="C6" s="43">
        <f>C7+C9+C11</f>
        <v>424859</v>
      </c>
      <c r="D6" s="43"/>
      <c r="E6" s="43">
        <f>E7+E9+E11</f>
        <v>223273</v>
      </c>
      <c r="F6" s="43">
        <f>E6/C6*100</f>
        <v>52.552258514001117</v>
      </c>
    </row>
    <row r="7" spans="1:8" x14ac:dyDescent="0.25">
      <c r="A7" s="3">
        <v>311</v>
      </c>
      <c r="B7" s="7" t="s">
        <v>38</v>
      </c>
      <c r="C7" s="43">
        <f>C8+C10+C12</f>
        <v>424859</v>
      </c>
      <c r="D7" s="43"/>
      <c r="E7" s="43">
        <f>E8+E10+E12</f>
        <v>223273</v>
      </c>
      <c r="F7" s="43">
        <f t="shared" ref="F7:F66" si="0">E7/C7*100</f>
        <v>52.552258514001117</v>
      </c>
    </row>
    <row r="8" spans="1:8" x14ac:dyDescent="0.25">
      <c r="A8" s="13">
        <v>3111</v>
      </c>
      <c r="B8" s="5" t="s">
        <v>39</v>
      </c>
      <c r="C8" s="44">
        <f>390000+20477+8544</f>
        <v>419021</v>
      </c>
      <c r="D8" s="44"/>
      <c r="E8" s="44">
        <f>5781+252549-57989+122288-103944</f>
        <v>218685</v>
      </c>
      <c r="F8" s="43">
        <f t="shared" si="0"/>
        <v>52.189508401726883</v>
      </c>
    </row>
    <row r="9" spans="1:8" x14ac:dyDescent="0.25">
      <c r="A9" s="3">
        <v>312</v>
      </c>
      <c r="B9" s="7" t="s">
        <v>40</v>
      </c>
      <c r="C9" s="43">
        <v>0</v>
      </c>
      <c r="D9" s="43"/>
      <c r="E9" s="43"/>
      <c r="F9" s="43" t="s">
        <v>119</v>
      </c>
    </row>
    <row r="10" spans="1:8" x14ac:dyDescent="0.25">
      <c r="A10" s="13">
        <v>3121</v>
      </c>
      <c r="B10" s="5" t="s">
        <v>40</v>
      </c>
      <c r="C10" s="44">
        <f>675+375</f>
        <v>1050</v>
      </c>
      <c r="D10" s="44"/>
      <c r="E10" s="44">
        <f>4250-3612</f>
        <v>638</v>
      </c>
      <c r="F10" s="43" t="s">
        <v>119</v>
      </c>
    </row>
    <row r="11" spans="1:8" s="18" customFormat="1" x14ac:dyDescent="0.25">
      <c r="A11" s="3">
        <v>313</v>
      </c>
      <c r="B11" s="7" t="s">
        <v>41</v>
      </c>
      <c r="C11" s="43">
        <v>0</v>
      </c>
      <c r="D11" s="43"/>
      <c r="E11" s="43"/>
      <c r="F11" s="43">
        <v>0</v>
      </c>
    </row>
    <row r="12" spans="1:8" x14ac:dyDescent="0.25">
      <c r="A12" s="13">
        <v>3132</v>
      </c>
      <c r="B12" s="6" t="s">
        <v>42</v>
      </c>
      <c r="C12" s="44">
        <f>3379+1409</f>
        <v>4788</v>
      </c>
      <c r="D12" s="44"/>
      <c r="E12" s="44">
        <f>20177-17181+954</f>
        <v>3950</v>
      </c>
      <c r="F12" s="43">
        <v>0</v>
      </c>
    </row>
    <row r="13" spans="1:8" ht="30" x14ac:dyDescent="0.25">
      <c r="A13" s="13">
        <v>3133</v>
      </c>
      <c r="B13" s="6" t="s">
        <v>43</v>
      </c>
      <c r="C13" s="44"/>
      <c r="D13" s="44"/>
      <c r="E13" s="44"/>
      <c r="F13" s="43" t="s">
        <v>119</v>
      </c>
    </row>
    <row r="14" spans="1:8" x14ac:dyDescent="0.25">
      <c r="A14" s="3">
        <v>32</v>
      </c>
      <c r="B14" s="7" t="s">
        <v>100</v>
      </c>
      <c r="C14" s="43">
        <f>C15+C20+C27+C39</f>
        <v>963196</v>
      </c>
      <c r="D14" s="43"/>
      <c r="E14" s="43">
        <f>E15+E20+E27+E39</f>
        <v>558919</v>
      </c>
      <c r="F14" s="43">
        <f t="shared" si="0"/>
        <v>58.027545795455957</v>
      </c>
      <c r="H14" s="55">
        <f>E15+E20+E27+E37+E39+E48+E54+E56+E11+E9+E7</f>
        <v>795470</v>
      </c>
    </row>
    <row r="15" spans="1:8" x14ac:dyDescent="0.25">
      <c r="A15" s="3">
        <v>321</v>
      </c>
      <c r="B15" s="7" t="s">
        <v>44</v>
      </c>
      <c r="C15" s="43">
        <f>SUM(C16:C19)</f>
        <v>34396</v>
      </c>
      <c r="D15" s="43"/>
      <c r="E15" s="43">
        <f>SUM(E16:E19)</f>
        <v>15340</v>
      </c>
      <c r="F15" s="43">
        <f t="shared" si="0"/>
        <v>44.598209094080708</v>
      </c>
      <c r="H15">
        <v>1560468</v>
      </c>
    </row>
    <row r="16" spans="1:8" x14ac:dyDescent="0.25">
      <c r="A16" s="13">
        <v>3211</v>
      </c>
      <c r="B16" s="5" t="s">
        <v>45</v>
      </c>
      <c r="C16" s="44">
        <v>20000</v>
      </c>
      <c r="D16" s="44"/>
      <c r="E16" s="44">
        <v>8530</v>
      </c>
      <c r="F16" s="43">
        <f t="shared" si="0"/>
        <v>42.65</v>
      </c>
      <c r="H16" s="55">
        <f>H14-H15</f>
        <v>-764998</v>
      </c>
    </row>
    <row r="17" spans="1:8" x14ac:dyDescent="0.25">
      <c r="A17" s="13">
        <v>3212</v>
      </c>
      <c r="B17" s="6" t="s">
        <v>46</v>
      </c>
      <c r="C17" s="44">
        <f>943+453</f>
        <v>1396</v>
      </c>
      <c r="D17" s="44"/>
      <c r="E17" s="44">
        <f>6378-5421+35</f>
        <v>992</v>
      </c>
      <c r="F17" s="43">
        <f t="shared" si="0"/>
        <v>71.060171919770781</v>
      </c>
    </row>
    <row r="18" spans="1:8" x14ac:dyDescent="0.25">
      <c r="A18" s="13">
        <v>3213</v>
      </c>
      <c r="B18" s="6" t="s">
        <v>49</v>
      </c>
      <c r="C18" s="44">
        <v>3000</v>
      </c>
      <c r="D18" s="44"/>
      <c r="E18" s="44">
        <v>2506</v>
      </c>
      <c r="F18" s="43">
        <f t="shared" si="0"/>
        <v>83.533333333333331</v>
      </c>
    </row>
    <row r="19" spans="1:8" x14ac:dyDescent="0.25">
      <c r="A19" s="13">
        <v>3214</v>
      </c>
      <c r="B19" s="6" t="s">
        <v>50</v>
      </c>
      <c r="C19" s="44">
        <v>10000</v>
      </c>
      <c r="D19" s="44"/>
      <c r="E19" s="44">
        <v>3312</v>
      </c>
      <c r="F19" s="43">
        <f t="shared" si="0"/>
        <v>33.119999999999997</v>
      </c>
    </row>
    <row r="20" spans="1:8" x14ac:dyDescent="0.25">
      <c r="A20" s="3">
        <v>322</v>
      </c>
      <c r="B20" s="7" t="s">
        <v>47</v>
      </c>
      <c r="C20" s="43">
        <f>SUM(C21:C26)</f>
        <v>648000</v>
      </c>
      <c r="D20" s="43"/>
      <c r="E20" s="43">
        <f>SUM(E21:E26)</f>
        <v>405456</v>
      </c>
      <c r="F20" s="43">
        <f t="shared" si="0"/>
        <v>62.570370370370362</v>
      </c>
    </row>
    <row r="21" spans="1:8" x14ac:dyDescent="0.25">
      <c r="A21" s="13">
        <v>3221</v>
      </c>
      <c r="B21" s="21" t="s">
        <v>48</v>
      </c>
      <c r="C21" s="44">
        <f>220000+15000</f>
        <v>235000</v>
      </c>
      <c r="D21" s="44"/>
      <c r="E21" s="44">
        <v>79552</v>
      </c>
      <c r="F21" s="43">
        <f t="shared" si="0"/>
        <v>33.851914893617021</v>
      </c>
    </row>
    <row r="22" spans="1:8" x14ac:dyDescent="0.25">
      <c r="A22" s="13">
        <v>3222</v>
      </c>
      <c r="B22" s="6" t="s">
        <v>51</v>
      </c>
      <c r="C22" s="44">
        <v>8000</v>
      </c>
      <c r="D22" s="44"/>
      <c r="E22" s="44">
        <v>10752</v>
      </c>
      <c r="F22" s="43">
        <f t="shared" si="0"/>
        <v>134.4</v>
      </c>
    </row>
    <row r="23" spans="1:8" x14ac:dyDescent="0.25">
      <c r="A23" s="13">
        <v>3223</v>
      </c>
      <c r="B23" s="6" t="s">
        <v>52</v>
      </c>
      <c r="C23" s="44">
        <v>350000</v>
      </c>
      <c r="D23" s="44"/>
      <c r="E23" s="44">
        <v>309069</v>
      </c>
      <c r="F23" s="43">
        <f t="shared" si="0"/>
        <v>88.305428571428564</v>
      </c>
    </row>
    <row r="24" spans="1:8" x14ac:dyDescent="0.25">
      <c r="A24" s="13">
        <v>3224</v>
      </c>
      <c r="B24" s="6" t="s">
        <v>53</v>
      </c>
      <c r="C24" s="44">
        <v>15000</v>
      </c>
      <c r="D24" s="44"/>
      <c r="E24" s="44">
        <v>4925</v>
      </c>
      <c r="F24" s="43">
        <f t="shared" si="0"/>
        <v>32.833333333333329</v>
      </c>
    </row>
    <row r="25" spans="1:8" x14ac:dyDescent="0.25">
      <c r="A25" s="13">
        <v>3225</v>
      </c>
      <c r="B25" s="6" t="s">
        <v>54</v>
      </c>
      <c r="C25" s="44">
        <v>25000</v>
      </c>
      <c r="D25" s="44"/>
      <c r="E25" s="44">
        <v>249</v>
      </c>
      <c r="F25" s="43">
        <f t="shared" si="0"/>
        <v>0.996</v>
      </c>
    </row>
    <row r="26" spans="1:8" x14ac:dyDescent="0.25">
      <c r="A26" s="13">
        <v>3227</v>
      </c>
      <c r="B26" s="6" t="s">
        <v>55</v>
      </c>
      <c r="C26" s="44">
        <v>15000</v>
      </c>
      <c r="D26" s="44"/>
      <c r="E26" s="44">
        <v>909</v>
      </c>
      <c r="F26" s="43">
        <f t="shared" si="0"/>
        <v>6.0600000000000005</v>
      </c>
    </row>
    <row r="27" spans="1:8" s="18" customFormat="1" x14ac:dyDescent="0.25">
      <c r="A27" s="3">
        <v>323</v>
      </c>
      <c r="B27" s="8" t="s">
        <v>56</v>
      </c>
      <c r="C27" s="43">
        <f>SUM(C28:C36)</f>
        <v>273500</v>
      </c>
      <c r="D27" s="43"/>
      <c r="E27" s="43">
        <f>SUM(E28:E36)</f>
        <v>131012</v>
      </c>
      <c r="F27" s="43">
        <f t="shared" si="0"/>
        <v>47.902010968921388</v>
      </c>
    </row>
    <row r="28" spans="1:8" x14ac:dyDescent="0.25">
      <c r="A28" s="13">
        <v>3231</v>
      </c>
      <c r="B28" s="6" t="s">
        <v>57</v>
      </c>
      <c r="C28" s="44">
        <v>40000</v>
      </c>
      <c r="D28" s="44"/>
      <c r="E28" s="44">
        <v>20282</v>
      </c>
      <c r="F28" s="43">
        <f t="shared" si="0"/>
        <v>50.704999999999998</v>
      </c>
    </row>
    <row r="29" spans="1:8" x14ac:dyDescent="0.25">
      <c r="A29" s="13">
        <v>3232</v>
      </c>
      <c r="B29" s="6" t="s">
        <v>58</v>
      </c>
      <c r="C29" s="44">
        <v>40000</v>
      </c>
      <c r="D29" s="44"/>
      <c r="E29" s="44">
        <v>11937</v>
      </c>
      <c r="F29" s="43">
        <f t="shared" si="0"/>
        <v>29.842500000000001</v>
      </c>
    </row>
    <row r="30" spans="1:8" x14ac:dyDescent="0.25">
      <c r="A30" s="13">
        <v>3233</v>
      </c>
      <c r="B30" s="6" t="s">
        <v>59</v>
      </c>
      <c r="C30" s="44">
        <v>1000</v>
      </c>
      <c r="D30" s="44"/>
      <c r="E30" s="44">
        <v>0</v>
      </c>
      <c r="F30" s="43">
        <f t="shared" si="0"/>
        <v>0</v>
      </c>
      <c r="H30" s="55">
        <f>E7+E14+E47+E54+E56</f>
        <v>795470</v>
      </c>
    </row>
    <row r="31" spans="1:8" x14ac:dyDescent="0.25">
      <c r="A31" s="13">
        <v>3234</v>
      </c>
      <c r="B31" s="6" t="s">
        <v>60</v>
      </c>
      <c r="C31" s="44">
        <v>55000</v>
      </c>
      <c r="D31" s="44"/>
      <c r="E31" s="44">
        <v>29016</v>
      </c>
      <c r="F31" s="43">
        <f t="shared" si="0"/>
        <v>52.756363636363638</v>
      </c>
      <c r="H31" s="44">
        <v>1560468</v>
      </c>
    </row>
    <row r="32" spans="1:8" x14ac:dyDescent="0.25">
      <c r="A32" s="13">
        <v>3235</v>
      </c>
      <c r="B32" s="6" t="s">
        <v>159</v>
      </c>
      <c r="C32" s="44">
        <v>12500</v>
      </c>
      <c r="D32" s="44"/>
      <c r="E32" s="44">
        <v>6870</v>
      </c>
      <c r="F32" s="43">
        <f t="shared" si="0"/>
        <v>54.96</v>
      </c>
      <c r="H32" s="55">
        <f>H30-H31</f>
        <v>-764998</v>
      </c>
    </row>
    <row r="33" spans="1:6" x14ac:dyDescent="0.25">
      <c r="A33" s="13">
        <v>3236</v>
      </c>
      <c r="B33" s="6" t="s">
        <v>62</v>
      </c>
      <c r="C33" s="44">
        <v>40000</v>
      </c>
      <c r="D33" s="44"/>
      <c r="E33" s="44">
        <v>16011</v>
      </c>
      <c r="F33" s="43">
        <f t="shared" si="0"/>
        <v>40.027499999999996</v>
      </c>
    </row>
    <row r="34" spans="1:6" x14ac:dyDescent="0.25">
      <c r="A34" s="13">
        <v>3237</v>
      </c>
      <c r="B34" s="6" t="s">
        <v>63</v>
      </c>
      <c r="C34" s="44">
        <v>20000</v>
      </c>
      <c r="D34" s="44"/>
      <c r="E34" s="44">
        <v>16729</v>
      </c>
      <c r="F34" s="43">
        <f t="shared" si="0"/>
        <v>83.644999999999996</v>
      </c>
    </row>
    <row r="35" spans="1:6" x14ac:dyDescent="0.25">
      <c r="A35" s="13">
        <v>3238</v>
      </c>
      <c r="B35" s="6" t="s">
        <v>64</v>
      </c>
      <c r="C35" s="44">
        <f>30000+15000</f>
        <v>45000</v>
      </c>
      <c r="D35" s="44"/>
      <c r="E35" s="44">
        <v>24248</v>
      </c>
      <c r="F35" s="43">
        <f t="shared" si="0"/>
        <v>53.884444444444448</v>
      </c>
    </row>
    <row r="36" spans="1:6" x14ac:dyDescent="0.25">
      <c r="A36" s="13">
        <v>3239</v>
      </c>
      <c r="B36" s="6" t="s">
        <v>65</v>
      </c>
      <c r="C36" s="44">
        <f>5000+15000</f>
        <v>20000</v>
      </c>
      <c r="D36" s="44"/>
      <c r="E36" s="44">
        <v>5919</v>
      </c>
      <c r="F36" s="43">
        <f t="shared" si="0"/>
        <v>29.594999999999999</v>
      </c>
    </row>
    <row r="37" spans="1:6" x14ac:dyDescent="0.25">
      <c r="A37" s="3">
        <v>324</v>
      </c>
      <c r="B37" s="8" t="s">
        <v>66</v>
      </c>
      <c r="C37" s="43"/>
      <c r="D37" s="43"/>
      <c r="E37" s="43"/>
      <c r="F37" s="43"/>
    </row>
    <row r="38" spans="1:6" x14ac:dyDescent="0.25">
      <c r="A38" s="13">
        <v>3241</v>
      </c>
      <c r="B38" s="6" t="s">
        <v>66</v>
      </c>
      <c r="C38" s="44"/>
      <c r="D38" s="44"/>
      <c r="E38" s="44">
        <v>146</v>
      </c>
      <c r="F38" s="43"/>
    </row>
    <row r="39" spans="1:6" s="18" customFormat="1" x14ac:dyDescent="0.25">
      <c r="A39" s="3">
        <v>329</v>
      </c>
      <c r="B39" s="8" t="s">
        <v>67</v>
      </c>
      <c r="C39" s="43">
        <f>SUM(C41:C46)</f>
        <v>7300</v>
      </c>
      <c r="D39" s="43"/>
      <c r="E39" s="43">
        <f>SUM(E42:E46)</f>
        <v>7111</v>
      </c>
      <c r="F39" s="43">
        <f t="shared" si="0"/>
        <v>97.410958904109592</v>
      </c>
    </row>
    <row r="40" spans="1:6" x14ac:dyDescent="0.25">
      <c r="A40" s="13">
        <v>3291</v>
      </c>
      <c r="B40" s="6" t="s">
        <v>68</v>
      </c>
      <c r="C40" s="44"/>
      <c r="D40" s="44"/>
      <c r="E40" s="44"/>
      <c r="F40" s="43"/>
    </row>
    <row r="41" spans="1:6" x14ac:dyDescent="0.25">
      <c r="A41" s="13">
        <v>3292</v>
      </c>
      <c r="B41" s="6" t="s">
        <v>69</v>
      </c>
      <c r="C41" s="44"/>
      <c r="D41" s="44"/>
      <c r="E41" s="44"/>
      <c r="F41" s="43"/>
    </row>
    <row r="42" spans="1:6" x14ac:dyDescent="0.25">
      <c r="A42" s="13">
        <v>3293</v>
      </c>
      <c r="B42" s="6" t="s">
        <v>70</v>
      </c>
      <c r="C42" s="44">
        <v>1000</v>
      </c>
      <c r="D42" s="44"/>
      <c r="E42" s="44">
        <v>411</v>
      </c>
      <c r="F42" s="43">
        <f t="shared" si="0"/>
        <v>41.099999999999994</v>
      </c>
    </row>
    <row r="43" spans="1:6" x14ac:dyDescent="0.25">
      <c r="A43" s="13">
        <v>3294</v>
      </c>
      <c r="B43" s="6" t="s">
        <v>71</v>
      </c>
      <c r="C43" s="44">
        <v>1000</v>
      </c>
      <c r="D43" s="44"/>
      <c r="E43" s="44">
        <v>4000</v>
      </c>
      <c r="F43" s="43">
        <f t="shared" si="0"/>
        <v>400</v>
      </c>
    </row>
    <row r="44" spans="1:6" x14ac:dyDescent="0.25">
      <c r="A44" s="13">
        <v>3295</v>
      </c>
      <c r="B44" s="6" t="s">
        <v>72</v>
      </c>
      <c r="C44" s="44">
        <v>300</v>
      </c>
      <c r="D44" s="44"/>
      <c r="E44" s="44"/>
      <c r="F44" s="43"/>
    </row>
    <row r="45" spans="1:6" x14ac:dyDescent="0.25">
      <c r="A45" s="13">
        <v>3296</v>
      </c>
      <c r="B45" s="6" t="s">
        <v>73</v>
      </c>
      <c r="C45" s="44"/>
      <c r="D45" s="44"/>
      <c r="E45" s="44"/>
      <c r="F45" s="43"/>
    </row>
    <row r="46" spans="1:6" x14ac:dyDescent="0.25">
      <c r="A46" s="13">
        <v>3299</v>
      </c>
      <c r="B46" s="6" t="s">
        <v>67</v>
      </c>
      <c r="C46" s="44">
        <v>5000</v>
      </c>
      <c r="D46" s="44"/>
      <c r="E46" s="44">
        <v>2700</v>
      </c>
      <c r="F46" s="43">
        <f t="shared" si="0"/>
        <v>54</v>
      </c>
    </row>
    <row r="47" spans="1:6" x14ac:dyDescent="0.25">
      <c r="A47" s="3">
        <v>34</v>
      </c>
      <c r="B47" s="8" t="s">
        <v>74</v>
      </c>
      <c r="C47" s="43">
        <v>8200</v>
      </c>
      <c r="D47" s="43"/>
      <c r="E47" s="43">
        <v>7078</v>
      </c>
      <c r="F47" s="43">
        <f t="shared" si="0"/>
        <v>86.317073170731703</v>
      </c>
    </row>
    <row r="48" spans="1:6" x14ac:dyDescent="0.25">
      <c r="A48" s="3">
        <v>343</v>
      </c>
      <c r="B48" s="8" t="s">
        <v>75</v>
      </c>
      <c r="C48" s="43">
        <v>8200</v>
      </c>
      <c r="D48" s="43"/>
      <c r="E48" s="43">
        <v>7078</v>
      </c>
      <c r="F48" s="43">
        <f t="shared" si="0"/>
        <v>86.317073170731703</v>
      </c>
    </row>
    <row r="49" spans="1:6" x14ac:dyDescent="0.25">
      <c r="A49" s="13">
        <v>3431</v>
      </c>
      <c r="B49" s="6" t="s">
        <v>76</v>
      </c>
      <c r="C49" s="44">
        <v>8000</v>
      </c>
      <c r="D49" s="44"/>
      <c r="E49" s="44">
        <v>3364</v>
      </c>
      <c r="F49" s="43">
        <f t="shared" si="0"/>
        <v>42.05</v>
      </c>
    </row>
    <row r="50" spans="1:6" x14ac:dyDescent="0.25">
      <c r="A50" s="13">
        <v>3433</v>
      </c>
      <c r="B50" s="6" t="s">
        <v>77</v>
      </c>
      <c r="C50" s="44"/>
      <c r="D50" s="44"/>
      <c r="E50" s="44">
        <v>0</v>
      </c>
      <c r="F50" s="43">
        <v>0</v>
      </c>
    </row>
    <row r="51" spans="1:6" x14ac:dyDescent="0.25">
      <c r="A51" s="13">
        <v>3434</v>
      </c>
      <c r="B51" s="6" t="s">
        <v>78</v>
      </c>
      <c r="C51" s="44">
        <v>200</v>
      </c>
      <c r="D51" s="44"/>
      <c r="E51" s="44">
        <v>78</v>
      </c>
      <c r="F51" s="43">
        <f t="shared" si="0"/>
        <v>39</v>
      </c>
    </row>
    <row r="52" spans="1:6" ht="30" x14ac:dyDescent="0.25">
      <c r="A52" s="3">
        <v>371</v>
      </c>
      <c r="B52" s="8" t="s">
        <v>79</v>
      </c>
      <c r="C52" s="43">
        <f>SUM(C53:C54)</f>
        <v>5000</v>
      </c>
      <c r="D52" s="43"/>
      <c r="E52" s="43">
        <f>SUM(E53:E54)</f>
        <v>5800</v>
      </c>
      <c r="F52" s="43">
        <f t="shared" si="0"/>
        <v>115.99999999999999</v>
      </c>
    </row>
    <row r="53" spans="1:6" ht="30" x14ac:dyDescent="0.25">
      <c r="A53" s="13">
        <v>3712</v>
      </c>
      <c r="B53" s="6" t="s">
        <v>80</v>
      </c>
      <c r="C53" s="44"/>
      <c r="D53" s="44"/>
      <c r="E53" s="44"/>
      <c r="F53" s="43"/>
    </row>
    <row r="54" spans="1:6" x14ac:dyDescent="0.25">
      <c r="A54" s="13">
        <v>3721</v>
      </c>
      <c r="B54" s="6" t="s">
        <v>122</v>
      </c>
      <c r="C54" s="44">
        <v>5000</v>
      </c>
      <c r="D54" s="44"/>
      <c r="E54" s="44">
        <v>5800</v>
      </c>
      <c r="F54" s="43">
        <f t="shared" si="0"/>
        <v>115.99999999999999</v>
      </c>
    </row>
    <row r="55" spans="1:6" x14ac:dyDescent="0.25">
      <c r="A55" s="3">
        <v>38</v>
      </c>
      <c r="B55" s="8" t="s">
        <v>40</v>
      </c>
      <c r="C55" s="43"/>
      <c r="D55" s="43"/>
      <c r="E55" s="43"/>
      <c r="F55" s="43"/>
    </row>
    <row r="56" spans="1:6" x14ac:dyDescent="0.25">
      <c r="A56" s="3">
        <v>381</v>
      </c>
      <c r="B56" s="8" t="s">
        <v>82</v>
      </c>
      <c r="C56" s="43"/>
      <c r="D56" s="43"/>
      <c r="E56" s="43">
        <v>400</v>
      </c>
      <c r="F56" s="43"/>
    </row>
    <row r="57" spans="1:6" x14ac:dyDescent="0.25">
      <c r="A57" s="13">
        <v>3811</v>
      </c>
      <c r="B57" s="6" t="s">
        <v>83</v>
      </c>
      <c r="C57" s="44"/>
      <c r="D57" s="44"/>
      <c r="E57" s="44">
        <v>400</v>
      </c>
      <c r="F57" s="43"/>
    </row>
    <row r="58" spans="1:6" x14ac:dyDescent="0.25">
      <c r="A58" s="13">
        <v>3812</v>
      </c>
      <c r="B58" s="6" t="s">
        <v>84</v>
      </c>
      <c r="C58" s="44"/>
      <c r="D58" s="44"/>
      <c r="E58" s="44"/>
      <c r="F58" s="43"/>
    </row>
    <row r="59" spans="1:6" x14ac:dyDescent="0.25">
      <c r="A59" s="3">
        <v>4</v>
      </c>
      <c r="B59" s="8" t="s">
        <v>91</v>
      </c>
      <c r="C59" s="43"/>
      <c r="D59" s="43"/>
      <c r="E59" s="43"/>
      <c r="F59" s="43"/>
    </row>
    <row r="60" spans="1:6" x14ac:dyDescent="0.25">
      <c r="A60" s="3">
        <v>421</v>
      </c>
      <c r="B60" s="8" t="s">
        <v>86</v>
      </c>
      <c r="C60" s="43"/>
      <c r="D60" s="43"/>
      <c r="E60" s="43"/>
      <c r="F60" s="43"/>
    </row>
    <row r="61" spans="1:6" x14ac:dyDescent="0.25">
      <c r="A61" s="3">
        <v>422</v>
      </c>
      <c r="B61" s="8" t="s">
        <v>85</v>
      </c>
      <c r="C61" s="43"/>
      <c r="D61" s="43"/>
      <c r="E61" s="43"/>
      <c r="F61" s="43"/>
    </row>
    <row r="62" spans="1:6" x14ac:dyDescent="0.25">
      <c r="A62" s="13">
        <v>4221</v>
      </c>
      <c r="B62" s="6" t="s">
        <v>87</v>
      </c>
      <c r="C62" s="44"/>
      <c r="D62" s="44"/>
      <c r="E62" s="44"/>
      <c r="F62" s="43"/>
    </row>
    <row r="63" spans="1:6" x14ac:dyDescent="0.25">
      <c r="A63" s="13">
        <v>4222</v>
      </c>
      <c r="B63" s="6" t="s">
        <v>88</v>
      </c>
      <c r="C63" s="44"/>
      <c r="D63" s="44"/>
      <c r="E63" s="44"/>
      <c r="F63" s="43"/>
    </row>
    <row r="64" spans="1:6" x14ac:dyDescent="0.25">
      <c r="A64" s="3">
        <v>424</v>
      </c>
      <c r="B64" s="8" t="s">
        <v>89</v>
      </c>
      <c r="C64" s="43"/>
      <c r="D64" s="43"/>
      <c r="E64" s="43"/>
      <c r="F64" s="43"/>
    </row>
    <row r="65" spans="1:6" x14ac:dyDescent="0.25">
      <c r="A65" s="13">
        <v>4241</v>
      </c>
      <c r="B65" s="6" t="s">
        <v>90</v>
      </c>
      <c r="C65" s="44"/>
      <c r="D65" s="44"/>
      <c r="E65" s="44"/>
      <c r="F65" s="43"/>
    </row>
    <row r="66" spans="1:6" x14ac:dyDescent="0.25">
      <c r="A66" s="13"/>
      <c r="B66" s="9" t="s">
        <v>101</v>
      </c>
      <c r="C66" s="44">
        <f>C6+C14+C47+C52</f>
        <v>1401255</v>
      </c>
      <c r="D66" s="44"/>
      <c r="E66" s="44">
        <f>E6+E14+E47+E52+E56</f>
        <v>795470</v>
      </c>
      <c r="F66" s="43">
        <f t="shared" si="0"/>
        <v>56.768396901349149</v>
      </c>
    </row>
    <row r="67" spans="1:6" x14ac:dyDescent="0.25">
      <c r="A67" s="24" t="s">
        <v>143</v>
      </c>
    </row>
    <row r="68" spans="1:6" ht="51.75" x14ac:dyDescent="0.25">
      <c r="A68" s="3" t="s">
        <v>18</v>
      </c>
      <c r="B68" s="2" t="s">
        <v>19</v>
      </c>
      <c r="C68" s="46" t="s">
        <v>150</v>
      </c>
      <c r="D68" s="46" t="s">
        <v>152</v>
      </c>
      <c r="E68" s="35" t="s">
        <v>158</v>
      </c>
      <c r="F68" s="42" t="s">
        <v>20</v>
      </c>
    </row>
    <row r="69" spans="1:6" ht="15.75" x14ac:dyDescent="0.25">
      <c r="A69" s="3"/>
      <c r="B69" s="2">
        <v>1</v>
      </c>
      <c r="C69" s="46">
        <v>2</v>
      </c>
      <c r="D69" s="46">
        <v>3</v>
      </c>
      <c r="E69" s="46">
        <v>4</v>
      </c>
      <c r="F69" s="42" t="s">
        <v>134</v>
      </c>
    </row>
    <row r="70" spans="1:6" x14ac:dyDescent="0.25">
      <c r="A70" s="3">
        <v>322</v>
      </c>
      <c r="B70" s="7" t="s">
        <v>47</v>
      </c>
      <c r="C70" s="43">
        <v>73200</v>
      </c>
      <c r="D70" s="43"/>
      <c r="E70" s="43">
        <f>SUM(E74:E76)</f>
        <v>0</v>
      </c>
      <c r="F70" s="43">
        <f t="shared" ref="F70:F133" si="1">E70/C70*100</f>
        <v>0</v>
      </c>
    </row>
    <row r="71" spans="1:6" x14ac:dyDescent="0.25">
      <c r="A71" s="13">
        <v>3221</v>
      </c>
      <c r="B71" s="21" t="s">
        <v>48</v>
      </c>
      <c r="C71" s="44"/>
      <c r="D71" s="44"/>
      <c r="E71" s="44"/>
      <c r="F71" s="43"/>
    </row>
    <row r="72" spans="1:6" x14ac:dyDescent="0.25">
      <c r="A72" s="13">
        <v>3222</v>
      </c>
      <c r="B72" s="6" t="s">
        <v>51</v>
      </c>
      <c r="C72" s="44"/>
      <c r="D72" s="44"/>
      <c r="E72" s="44"/>
      <c r="F72" s="43"/>
    </row>
    <row r="73" spans="1:6" x14ac:dyDescent="0.25">
      <c r="A73" s="13">
        <v>3223</v>
      </c>
      <c r="B73" s="6" t="s">
        <v>52</v>
      </c>
      <c r="C73" s="44"/>
      <c r="D73" s="44"/>
      <c r="E73" s="44"/>
      <c r="F73" s="43"/>
    </row>
    <row r="74" spans="1:6" x14ac:dyDescent="0.25">
      <c r="A74" s="13">
        <v>3224</v>
      </c>
      <c r="B74" s="6" t="s">
        <v>53</v>
      </c>
      <c r="C74" s="44">
        <v>25000</v>
      </c>
      <c r="D74" s="44"/>
      <c r="E74" s="44">
        <v>0</v>
      </c>
      <c r="F74" s="43">
        <f t="shared" si="1"/>
        <v>0</v>
      </c>
    </row>
    <row r="75" spans="1:6" x14ac:dyDescent="0.25">
      <c r="A75" s="13">
        <v>3299</v>
      </c>
      <c r="B75" s="6" t="s">
        <v>132</v>
      </c>
      <c r="C75" s="44">
        <v>50003</v>
      </c>
      <c r="D75" s="44"/>
      <c r="E75" s="44"/>
      <c r="F75" s="43">
        <f t="shared" si="1"/>
        <v>0</v>
      </c>
    </row>
    <row r="76" spans="1:6" x14ac:dyDescent="0.25">
      <c r="A76" s="13">
        <v>3225</v>
      </c>
      <c r="B76" s="6" t="s">
        <v>54</v>
      </c>
      <c r="C76" s="44">
        <v>23197</v>
      </c>
      <c r="D76" s="44"/>
      <c r="E76" s="44">
        <v>0</v>
      </c>
      <c r="F76" s="43">
        <f t="shared" si="1"/>
        <v>0</v>
      </c>
    </row>
    <row r="77" spans="1:6" s="18" customFormat="1" x14ac:dyDescent="0.25">
      <c r="A77" s="3">
        <v>3721</v>
      </c>
      <c r="B77" s="8" t="s">
        <v>133</v>
      </c>
      <c r="C77" s="43">
        <v>10000</v>
      </c>
      <c r="D77" s="43"/>
      <c r="E77" s="43"/>
      <c r="F77" s="43">
        <f t="shared" si="1"/>
        <v>0</v>
      </c>
    </row>
    <row r="78" spans="1:6" x14ac:dyDescent="0.25">
      <c r="A78" s="3">
        <v>424</v>
      </c>
      <c r="B78" s="8" t="s">
        <v>89</v>
      </c>
      <c r="C78" s="43">
        <v>132554</v>
      </c>
      <c r="D78" s="43"/>
      <c r="E78" s="43"/>
      <c r="F78" s="43">
        <f t="shared" si="1"/>
        <v>0</v>
      </c>
    </row>
    <row r="79" spans="1:6" x14ac:dyDescent="0.25">
      <c r="A79" s="13">
        <v>4221</v>
      </c>
      <c r="B79" s="6" t="s">
        <v>87</v>
      </c>
      <c r="C79" s="44">
        <v>132554</v>
      </c>
      <c r="D79" s="44"/>
      <c r="E79" s="44"/>
      <c r="F79" s="43">
        <f t="shared" si="1"/>
        <v>0</v>
      </c>
    </row>
    <row r="80" spans="1:6" x14ac:dyDescent="0.25">
      <c r="A80" s="13">
        <v>4241</v>
      </c>
      <c r="B80" s="6" t="s">
        <v>90</v>
      </c>
      <c r="C80" s="44"/>
      <c r="D80" s="44"/>
      <c r="E80" s="44"/>
      <c r="F80" s="43"/>
    </row>
    <row r="81" spans="1:6" x14ac:dyDescent="0.25">
      <c r="A81" s="13"/>
      <c r="B81" s="9" t="s">
        <v>101</v>
      </c>
      <c r="C81" s="44">
        <f>174868+886+40000+25000</f>
        <v>240754</v>
      </c>
      <c r="D81" s="44"/>
      <c r="E81" s="44">
        <v>0</v>
      </c>
      <c r="F81" s="43">
        <f t="shared" si="1"/>
        <v>0</v>
      </c>
    </row>
    <row r="82" spans="1:6" x14ac:dyDescent="0.25">
      <c r="A82" s="27"/>
      <c r="B82" s="28"/>
      <c r="C82" s="48"/>
      <c r="D82" s="48"/>
      <c r="E82" s="48"/>
      <c r="F82" s="43"/>
    </row>
    <row r="83" spans="1:6" x14ac:dyDescent="0.25">
      <c r="A83" s="24" t="s">
        <v>144</v>
      </c>
      <c r="F83" s="43"/>
    </row>
    <row r="84" spans="1:6" ht="51.75" x14ac:dyDescent="0.25">
      <c r="A84" s="3" t="s">
        <v>18</v>
      </c>
      <c r="B84" s="2" t="s">
        <v>19</v>
      </c>
      <c r="C84" s="46" t="s">
        <v>150</v>
      </c>
      <c r="D84" s="46" t="s">
        <v>152</v>
      </c>
      <c r="E84" s="35" t="s">
        <v>158</v>
      </c>
      <c r="F84" s="42" t="s">
        <v>20</v>
      </c>
    </row>
    <row r="85" spans="1:6" ht="15.75" x14ac:dyDescent="0.25">
      <c r="A85" s="3"/>
      <c r="B85" s="2">
        <v>1</v>
      </c>
      <c r="C85" s="46">
        <v>2</v>
      </c>
      <c r="D85" s="46">
        <v>3</v>
      </c>
      <c r="E85" s="46">
        <v>4</v>
      </c>
      <c r="F85" s="42" t="s">
        <v>134</v>
      </c>
    </row>
    <row r="86" spans="1:6" x14ac:dyDescent="0.25">
      <c r="A86" s="3">
        <v>31</v>
      </c>
      <c r="B86" s="7" t="s">
        <v>37</v>
      </c>
      <c r="C86" s="43">
        <v>190000</v>
      </c>
      <c r="D86" s="43"/>
      <c r="E86" s="43">
        <f>E87+E89+E91</f>
        <v>115836</v>
      </c>
      <c r="F86" s="43">
        <f t="shared" si="1"/>
        <v>60.966315789473683</v>
      </c>
    </row>
    <row r="87" spans="1:6" x14ac:dyDescent="0.25">
      <c r="A87" s="3">
        <v>311</v>
      </c>
      <c r="B87" s="7" t="s">
        <v>38</v>
      </c>
      <c r="C87" s="43">
        <v>90000</v>
      </c>
      <c r="D87" s="43"/>
      <c r="E87" s="43">
        <v>57989</v>
      </c>
      <c r="F87" s="43">
        <f t="shared" si="1"/>
        <v>64.432222222222222</v>
      </c>
    </row>
    <row r="88" spans="1:6" x14ac:dyDescent="0.25">
      <c r="A88" s="13">
        <v>3111</v>
      </c>
      <c r="B88" s="5" t="s">
        <v>39</v>
      </c>
      <c r="C88" s="44">
        <v>90000</v>
      </c>
      <c r="D88" s="44"/>
      <c r="E88" s="44">
        <v>57989</v>
      </c>
      <c r="F88" s="43">
        <f t="shared" si="1"/>
        <v>64.432222222222222</v>
      </c>
    </row>
    <row r="89" spans="1:6" x14ac:dyDescent="0.25">
      <c r="A89" s="3">
        <v>312</v>
      </c>
      <c r="B89" s="7" t="s">
        <v>40</v>
      </c>
      <c r="C89" s="43">
        <v>16000</v>
      </c>
      <c r="D89" s="43"/>
      <c r="E89" s="43">
        <v>13860</v>
      </c>
      <c r="F89" s="43">
        <f t="shared" si="1"/>
        <v>86.625</v>
      </c>
    </row>
    <row r="90" spans="1:6" x14ac:dyDescent="0.25">
      <c r="A90" s="13">
        <v>3121</v>
      </c>
      <c r="B90" s="5" t="s">
        <v>40</v>
      </c>
      <c r="C90" s="44">
        <v>16000</v>
      </c>
      <c r="D90" s="44"/>
      <c r="E90" s="44">
        <v>13860</v>
      </c>
      <c r="F90" s="43">
        <f t="shared" si="1"/>
        <v>86.625</v>
      </c>
    </row>
    <row r="91" spans="1:6" s="18" customFormat="1" x14ac:dyDescent="0.25">
      <c r="A91" s="3">
        <v>313</v>
      </c>
      <c r="B91" s="7" t="s">
        <v>41</v>
      </c>
      <c r="C91" s="43">
        <v>84000</v>
      </c>
      <c r="D91" s="43"/>
      <c r="E91" s="43">
        <v>43987</v>
      </c>
      <c r="F91" s="43">
        <f t="shared" si="1"/>
        <v>52.365476190476187</v>
      </c>
    </row>
    <row r="92" spans="1:6" x14ac:dyDescent="0.25">
      <c r="A92" s="13">
        <v>3132</v>
      </c>
      <c r="B92" s="6" t="s">
        <v>42</v>
      </c>
      <c r="C92" s="44">
        <v>84000</v>
      </c>
      <c r="D92" s="44"/>
      <c r="E92" s="44">
        <f>43732+255</f>
        <v>43987</v>
      </c>
      <c r="F92" s="43">
        <f t="shared" si="1"/>
        <v>52.365476190476187</v>
      </c>
    </row>
    <row r="93" spans="1:6" x14ac:dyDescent="0.25">
      <c r="A93" s="3">
        <v>32</v>
      </c>
      <c r="B93" s="7" t="s">
        <v>100</v>
      </c>
      <c r="C93" s="43">
        <f>C97+C100+C104+C107+C94</f>
        <v>755250</v>
      </c>
      <c r="D93" s="43"/>
      <c r="E93" s="43">
        <f>E94+E97+E100+E104+E107</f>
        <v>420616</v>
      </c>
      <c r="F93" s="43">
        <f t="shared" si="1"/>
        <v>55.692287322078784</v>
      </c>
    </row>
    <row r="94" spans="1:6" x14ac:dyDescent="0.25">
      <c r="A94" s="3">
        <v>321</v>
      </c>
      <c r="B94" s="7" t="s">
        <v>44</v>
      </c>
      <c r="C94" s="43">
        <v>20000</v>
      </c>
      <c r="D94" s="43"/>
      <c r="E94" s="43">
        <f>SUM(E95:E96)</f>
        <v>21355</v>
      </c>
      <c r="F94" s="43">
        <f t="shared" si="1"/>
        <v>106.77499999999999</v>
      </c>
    </row>
    <row r="95" spans="1:6" x14ac:dyDescent="0.25">
      <c r="A95" s="13">
        <v>3211</v>
      </c>
      <c r="B95" s="5" t="s">
        <v>45</v>
      </c>
      <c r="C95" s="44"/>
      <c r="D95" s="44"/>
      <c r="E95" s="44">
        <v>12945</v>
      </c>
      <c r="F95" s="43"/>
    </row>
    <row r="96" spans="1:6" x14ac:dyDescent="0.25">
      <c r="A96" s="13">
        <v>3212</v>
      </c>
      <c r="B96" s="5" t="s">
        <v>123</v>
      </c>
      <c r="C96" s="44">
        <v>20000</v>
      </c>
      <c r="D96" s="44"/>
      <c r="E96" s="44">
        <v>8410</v>
      </c>
      <c r="F96" s="43">
        <f t="shared" si="1"/>
        <v>42.05</v>
      </c>
    </row>
    <row r="97" spans="1:6" x14ac:dyDescent="0.25">
      <c r="A97" s="3">
        <v>322</v>
      </c>
      <c r="B97" s="7" t="s">
        <v>47</v>
      </c>
      <c r="C97" s="43">
        <v>635250</v>
      </c>
      <c r="D97" s="43"/>
      <c r="E97" s="43">
        <f>SUM(E98:E99)</f>
        <v>384434</v>
      </c>
      <c r="F97" s="43">
        <f t="shared" si="1"/>
        <v>60.516961826052743</v>
      </c>
    </row>
    <row r="98" spans="1:6" x14ac:dyDescent="0.25">
      <c r="A98" s="13">
        <v>3221</v>
      </c>
      <c r="B98" s="6" t="s">
        <v>124</v>
      </c>
      <c r="C98" s="44">
        <v>0</v>
      </c>
      <c r="D98" s="44"/>
      <c r="E98" s="44">
        <v>1393</v>
      </c>
      <c r="F98" s="43"/>
    </row>
    <row r="99" spans="1:6" x14ac:dyDescent="0.25">
      <c r="A99" s="13">
        <v>3222</v>
      </c>
      <c r="B99" s="6" t="s">
        <v>125</v>
      </c>
      <c r="C99" s="44">
        <f>451500+183750</f>
        <v>635250</v>
      </c>
      <c r="D99" s="44"/>
      <c r="E99" s="44">
        <f>358293+5785+18963</f>
        <v>383041</v>
      </c>
      <c r="F99" s="43">
        <f t="shared" si="1"/>
        <v>60.297678079496265</v>
      </c>
    </row>
    <row r="100" spans="1:6" s="18" customFormat="1" x14ac:dyDescent="0.25">
      <c r="A100" s="3">
        <v>323</v>
      </c>
      <c r="B100" s="8" t="s">
        <v>56</v>
      </c>
      <c r="C100" s="43">
        <v>70000</v>
      </c>
      <c r="D100" s="43"/>
      <c r="E100" s="43">
        <v>7987</v>
      </c>
      <c r="F100" s="43">
        <f t="shared" si="1"/>
        <v>11.41</v>
      </c>
    </row>
    <row r="101" spans="1:6" x14ac:dyDescent="0.25">
      <c r="A101" s="13">
        <v>3233</v>
      </c>
      <c r="B101" s="6" t="s">
        <v>59</v>
      </c>
      <c r="C101" s="44">
        <v>50000</v>
      </c>
      <c r="D101" s="44"/>
      <c r="E101" s="44">
        <v>0</v>
      </c>
      <c r="F101" s="43">
        <f t="shared" si="1"/>
        <v>0</v>
      </c>
    </row>
    <row r="102" spans="1:6" x14ac:dyDescent="0.25">
      <c r="A102" s="13">
        <v>3238</v>
      </c>
      <c r="B102" s="6" t="s">
        <v>64</v>
      </c>
      <c r="C102" s="44">
        <v>20000</v>
      </c>
      <c r="D102" s="44"/>
      <c r="E102" s="44">
        <v>7987</v>
      </c>
      <c r="F102" s="43">
        <f t="shared" si="1"/>
        <v>39.934999999999995</v>
      </c>
    </row>
    <row r="103" spans="1:6" x14ac:dyDescent="0.25">
      <c r="A103" s="13">
        <v>3239</v>
      </c>
      <c r="B103" s="6" t="s">
        <v>126</v>
      </c>
      <c r="C103" s="44"/>
      <c r="D103" s="44"/>
      <c r="E103" s="44">
        <v>0</v>
      </c>
      <c r="F103" s="43"/>
    </row>
    <row r="104" spans="1:6" s="18" customFormat="1" x14ac:dyDescent="0.25">
      <c r="A104" s="3">
        <v>329</v>
      </c>
      <c r="B104" s="8" t="s">
        <v>67</v>
      </c>
      <c r="C104" s="43">
        <v>30000</v>
      </c>
      <c r="D104" s="43"/>
      <c r="E104" s="43">
        <v>6840</v>
      </c>
      <c r="F104" s="43">
        <f t="shared" si="1"/>
        <v>22.8</v>
      </c>
    </row>
    <row r="105" spans="1:6" x14ac:dyDescent="0.25">
      <c r="A105" s="13">
        <v>3292</v>
      </c>
      <c r="B105" s="6" t="s">
        <v>69</v>
      </c>
      <c r="C105" s="44">
        <v>30000</v>
      </c>
      <c r="D105" s="44"/>
      <c r="E105" s="44">
        <v>0</v>
      </c>
      <c r="F105" s="43">
        <f t="shared" si="1"/>
        <v>0</v>
      </c>
    </row>
    <row r="106" spans="1:6" x14ac:dyDescent="0.25">
      <c r="A106" s="13">
        <v>3299</v>
      </c>
      <c r="B106" s="6" t="s">
        <v>67</v>
      </c>
      <c r="C106" s="44"/>
      <c r="D106" s="44"/>
      <c r="E106" s="44">
        <v>6840</v>
      </c>
      <c r="F106" s="43"/>
    </row>
    <row r="107" spans="1:6" s="18" customFormat="1" x14ac:dyDescent="0.25">
      <c r="A107" s="3">
        <v>38</v>
      </c>
      <c r="B107" s="8" t="s">
        <v>127</v>
      </c>
      <c r="C107" s="43">
        <v>0</v>
      </c>
      <c r="D107" s="43"/>
      <c r="E107" s="43">
        <v>0</v>
      </c>
      <c r="F107" s="43"/>
    </row>
    <row r="108" spans="1:6" x14ac:dyDescent="0.25">
      <c r="A108" s="13">
        <v>3811</v>
      </c>
      <c r="B108" s="6" t="s">
        <v>128</v>
      </c>
      <c r="C108" s="44">
        <v>0</v>
      </c>
      <c r="D108" s="44"/>
      <c r="E108" s="44">
        <v>0</v>
      </c>
      <c r="F108" s="43"/>
    </row>
    <row r="109" spans="1:6" x14ac:dyDescent="0.25">
      <c r="A109" s="13"/>
      <c r="B109" s="6"/>
      <c r="C109" s="44"/>
      <c r="D109" s="44"/>
      <c r="E109" s="44"/>
      <c r="F109" s="43"/>
    </row>
    <row r="110" spans="1:6" x14ac:dyDescent="0.25">
      <c r="A110" s="13"/>
      <c r="B110" s="9" t="s">
        <v>101</v>
      </c>
      <c r="C110" s="44">
        <f>C86+C93+C107</f>
        <v>945250</v>
      </c>
      <c r="D110" s="44"/>
      <c r="E110" s="43">
        <f>E86+E93</f>
        <v>536452</v>
      </c>
      <c r="F110" s="43">
        <f t="shared" si="1"/>
        <v>56.752393546680771</v>
      </c>
    </row>
    <row r="111" spans="1:6" x14ac:dyDescent="0.25">
      <c r="A111" s="27"/>
      <c r="B111" s="28"/>
      <c r="C111" s="48"/>
      <c r="D111" s="48"/>
      <c r="E111" s="48"/>
      <c r="F111" s="43"/>
    </row>
    <row r="112" spans="1:6" x14ac:dyDescent="0.25">
      <c r="A112" s="24" t="s">
        <v>145</v>
      </c>
      <c r="F112" s="43"/>
    </row>
    <row r="113" spans="1:6" ht="51.75" x14ac:dyDescent="0.25">
      <c r="A113" s="3" t="s">
        <v>18</v>
      </c>
      <c r="B113" s="2" t="s">
        <v>19</v>
      </c>
      <c r="C113" s="46" t="s">
        <v>150</v>
      </c>
      <c r="D113" s="46" t="s">
        <v>152</v>
      </c>
      <c r="E113" s="35" t="s">
        <v>158</v>
      </c>
      <c r="F113" s="42" t="s">
        <v>20</v>
      </c>
    </row>
    <row r="114" spans="1:6" ht="15.75" x14ac:dyDescent="0.25">
      <c r="A114" s="3"/>
      <c r="B114" s="2">
        <v>1</v>
      </c>
      <c r="C114" s="46">
        <v>2</v>
      </c>
      <c r="D114" s="46">
        <v>3</v>
      </c>
      <c r="E114" s="46">
        <v>4</v>
      </c>
      <c r="F114" s="42" t="s">
        <v>134</v>
      </c>
    </row>
    <row r="115" spans="1:6" x14ac:dyDescent="0.25">
      <c r="A115" s="3">
        <v>31</v>
      </c>
      <c r="B115" s="7" t="s">
        <v>37</v>
      </c>
      <c r="C115" s="43">
        <f>C116+C120+C122</f>
        <v>12161526</v>
      </c>
      <c r="D115" s="43"/>
      <c r="E115" s="43">
        <f>E116+E120+E122</f>
        <v>6220134</v>
      </c>
      <c r="F115" s="43">
        <f t="shared" si="1"/>
        <v>51.145999276735502</v>
      </c>
    </row>
    <row r="116" spans="1:6" x14ac:dyDescent="0.25">
      <c r="A116" s="3">
        <v>311</v>
      </c>
      <c r="B116" s="7" t="s">
        <v>38</v>
      </c>
      <c r="C116" s="43">
        <f>SUM(C117:C119)</f>
        <v>10134443</v>
      </c>
      <c r="D116" s="43"/>
      <c r="E116" s="43">
        <f>SUM(E117:E119)</f>
        <v>5188503</v>
      </c>
      <c r="F116" s="43">
        <f t="shared" si="1"/>
        <v>51.196725858540027</v>
      </c>
    </row>
    <row r="117" spans="1:6" x14ac:dyDescent="0.25">
      <c r="A117" s="13">
        <v>3111</v>
      </c>
      <c r="B117" s="5" t="s">
        <v>39</v>
      </c>
      <c r="C117" s="44">
        <f>41148+7260+98630+17405+9800000+10000</f>
        <v>9974443</v>
      </c>
      <c r="D117" s="44"/>
      <c r="E117" s="44">
        <f>4882292+103944</f>
        <v>4986236</v>
      </c>
      <c r="F117" s="43">
        <f t="shared" si="1"/>
        <v>49.990119749042627</v>
      </c>
    </row>
    <row r="118" spans="1:6" x14ac:dyDescent="0.25">
      <c r="A118" s="13">
        <v>3113</v>
      </c>
      <c r="B118" s="5" t="s">
        <v>130</v>
      </c>
      <c r="C118" s="44">
        <v>100000</v>
      </c>
      <c r="D118" s="44"/>
      <c r="E118" s="44">
        <v>165106</v>
      </c>
      <c r="F118" s="43">
        <f t="shared" si="1"/>
        <v>165.10599999999999</v>
      </c>
    </row>
    <row r="119" spans="1:6" x14ac:dyDescent="0.25">
      <c r="A119" s="13">
        <v>3114</v>
      </c>
      <c r="B119" s="5" t="s">
        <v>131</v>
      </c>
      <c r="C119" s="44">
        <v>60000</v>
      </c>
      <c r="D119" s="44"/>
      <c r="E119" s="44">
        <v>37161</v>
      </c>
      <c r="F119" s="43">
        <f t="shared" si="1"/>
        <v>61.934999999999995</v>
      </c>
    </row>
    <row r="120" spans="1:6" x14ac:dyDescent="0.25">
      <c r="A120" s="3">
        <v>312</v>
      </c>
      <c r="B120" s="7" t="s">
        <v>40</v>
      </c>
      <c r="C120" s="43">
        <f>C121</f>
        <v>355949</v>
      </c>
      <c r="D120" s="43"/>
      <c r="E120" s="43">
        <f>E121</f>
        <v>173740</v>
      </c>
      <c r="F120" s="43">
        <f t="shared" si="1"/>
        <v>48.810363282380344</v>
      </c>
    </row>
    <row r="121" spans="1:6" x14ac:dyDescent="0.25">
      <c r="A121" s="13">
        <v>3121</v>
      </c>
      <c r="B121" s="5" t="s">
        <v>40</v>
      </c>
      <c r="C121" s="44">
        <f>350000+1806+319+3251+573</f>
        <v>355949</v>
      </c>
      <c r="D121" s="44"/>
      <c r="E121" s="44">
        <f>170128+3612</f>
        <v>173740</v>
      </c>
      <c r="F121" s="43">
        <f t="shared" si="1"/>
        <v>48.810363282380344</v>
      </c>
    </row>
    <row r="122" spans="1:6" s="18" customFormat="1" x14ac:dyDescent="0.25">
      <c r="A122" s="3">
        <v>313</v>
      </c>
      <c r="B122" s="7" t="s">
        <v>41</v>
      </c>
      <c r="C122" s="43">
        <f>SUM(C123:C124)</f>
        <v>1671134</v>
      </c>
      <c r="D122" s="43"/>
      <c r="E122" s="43">
        <f>SUM(E123:E124)</f>
        <v>857891</v>
      </c>
      <c r="F122" s="43">
        <f t="shared" si="1"/>
        <v>51.335859362564584</v>
      </c>
    </row>
    <row r="123" spans="1:6" x14ac:dyDescent="0.25">
      <c r="A123" s="13">
        <v>3132</v>
      </c>
      <c r="B123" s="6" t="s">
        <v>42</v>
      </c>
      <c r="C123" s="44">
        <f>16274+2872+1644000+6790+1198</f>
        <v>1671134</v>
      </c>
      <c r="D123" s="44"/>
      <c r="E123" s="44">
        <f>838568+17181</f>
        <v>855749</v>
      </c>
      <c r="F123" s="43">
        <f t="shared" si="1"/>
        <v>51.207682926683319</v>
      </c>
    </row>
    <row r="124" spans="1:6" ht="30" x14ac:dyDescent="0.25">
      <c r="A124" s="13">
        <v>3133</v>
      </c>
      <c r="B124" s="6" t="s">
        <v>43</v>
      </c>
      <c r="C124" s="44">
        <v>0</v>
      </c>
      <c r="D124" s="44"/>
      <c r="E124" s="44">
        <v>2142</v>
      </c>
      <c r="F124" s="43">
        <v>0</v>
      </c>
    </row>
    <row r="125" spans="1:6" x14ac:dyDescent="0.25">
      <c r="A125" s="3">
        <v>32</v>
      </c>
      <c r="B125" s="7" t="s">
        <v>100</v>
      </c>
      <c r="C125" s="43"/>
      <c r="D125" s="43"/>
      <c r="E125" s="43">
        <v>0</v>
      </c>
      <c r="F125" s="43"/>
    </row>
    <row r="126" spans="1:6" x14ac:dyDescent="0.25">
      <c r="A126" s="3">
        <v>321</v>
      </c>
      <c r="B126" s="7" t="s">
        <v>44</v>
      </c>
      <c r="C126" s="43">
        <f>SUM(C127:C130)</f>
        <v>385914</v>
      </c>
      <c r="D126" s="43"/>
      <c r="E126" s="43">
        <f>SUM(E127:E130)</f>
        <v>310451</v>
      </c>
      <c r="F126" s="43"/>
    </row>
    <row r="127" spans="1:6" x14ac:dyDescent="0.25">
      <c r="A127" s="13">
        <v>3211</v>
      </c>
      <c r="B127" s="5" t="s">
        <v>45</v>
      </c>
      <c r="C127" s="44">
        <f>60000+3000</f>
        <v>63000</v>
      </c>
      <c r="D127" s="44"/>
      <c r="E127" s="44">
        <v>109843</v>
      </c>
      <c r="F127" s="43">
        <f t="shared" si="1"/>
        <v>174.35396825396825</v>
      </c>
    </row>
    <row r="128" spans="1:6" x14ac:dyDescent="0.25">
      <c r="A128" s="13">
        <v>3212</v>
      </c>
      <c r="B128" s="6" t="s">
        <v>46</v>
      </c>
      <c r="C128" s="44">
        <f>4544+802+300000+2183+385</f>
        <v>307914</v>
      </c>
      <c r="D128" s="44"/>
      <c r="E128" s="44">
        <f>5421+190824</f>
        <v>196245</v>
      </c>
      <c r="F128" s="43">
        <f t="shared" si="1"/>
        <v>63.733704865644306</v>
      </c>
    </row>
    <row r="129" spans="1:8 16384:16384" x14ac:dyDescent="0.25">
      <c r="A129" s="13">
        <v>3213</v>
      </c>
      <c r="B129" s="6" t="s">
        <v>49</v>
      </c>
      <c r="C129" s="44"/>
      <c r="D129" s="44"/>
      <c r="E129" s="44">
        <v>0</v>
      </c>
      <c r="F129" s="43"/>
    </row>
    <row r="130" spans="1:8 16384:16384" x14ac:dyDescent="0.25">
      <c r="A130" s="13">
        <v>3214</v>
      </c>
      <c r="B130" s="6" t="s">
        <v>50</v>
      </c>
      <c r="C130" s="44">
        <v>15000</v>
      </c>
      <c r="D130" s="44"/>
      <c r="E130" s="44">
        <f>208+4155</f>
        <v>4363</v>
      </c>
      <c r="F130" s="43">
        <f t="shared" si="1"/>
        <v>29.086666666666666</v>
      </c>
    </row>
    <row r="131" spans="1:8 16384:16384" x14ac:dyDescent="0.25">
      <c r="A131" s="3">
        <v>322</v>
      </c>
      <c r="B131" s="7" t="s">
        <v>47</v>
      </c>
      <c r="C131" s="43">
        <f>SUM(C132:C137)</f>
        <v>185402</v>
      </c>
      <c r="D131" s="43"/>
      <c r="E131" s="43">
        <f>SUM(E132:E137)</f>
        <v>39877</v>
      </c>
      <c r="F131" s="43"/>
    </row>
    <row r="132" spans="1:8 16384:16384" x14ac:dyDescent="0.25">
      <c r="A132" s="13">
        <v>3221</v>
      </c>
      <c r="B132" s="21" t="s">
        <v>48</v>
      </c>
      <c r="C132" s="44">
        <v>10000</v>
      </c>
      <c r="D132" s="44"/>
      <c r="E132" s="44">
        <v>12416</v>
      </c>
      <c r="F132" s="43">
        <f t="shared" si="1"/>
        <v>124.16</v>
      </c>
    </row>
    <row r="133" spans="1:8 16384:16384" x14ac:dyDescent="0.25">
      <c r="A133" s="13">
        <v>3222</v>
      </c>
      <c r="B133" s="6" t="s">
        <v>51</v>
      </c>
      <c r="C133" s="44">
        <f>2000+147392+26010</f>
        <v>175402</v>
      </c>
      <c r="D133" s="44"/>
      <c r="E133" s="44">
        <f>21505+1947</f>
        <v>23452</v>
      </c>
      <c r="F133" s="43">
        <f t="shared" si="1"/>
        <v>13.370429071504317</v>
      </c>
    </row>
    <row r="134" spans="1:8 16384:16384" x14ac:dyDescent="0.25">
      <c r="A134" s="13">
        <v>3223</v>
      </c>
      <c r="B134" s="6" t="s">
        <v>52</v>
      </c>
      <c r="C134" s="44">
        <v>0</v>
      </c>
      <c r="D134" s="44"/>
      <c r="E134" s="44">
        <v>0</v>
      </c>
      <c r="F134" s="43">
        <v>0</v>
      </c>
    </row>
    <row r="135" spans="1:8 16384:16384" x14ac:dyDescent="0.25">
      <c r="A135" s="13">
        <v>3224</v>
      </c>
      <c r="B135" s="6" t="s">
        <v>53</v>
      </c>
      <c r="C135" s="44"/>
      <c r="D135" s="44"/>
      <c r="E135" s="44"/>
      <c r="F135" s="43"/>
    </row>
    <row r="136" spans="1:8 16384:16384" x14ac:dyDescent="0.25">
      <c r="A136" s="13">
        <v>3225</v>
      </c>
      <c r="B136" s="6" t="s">
        <v>54</v>
      </c>
      <c r="C136" s="44"/>
      <c r="D136" s="44"/>
      <c r="E136" s="44">
        <v>4009</v>
      </c>
      <c r="F136" s="43"/>
    </row>
    <row r="137" spans="1:8 16384:16384" x14ac:dyDescent="0.25">
      <c r="A137" s="13">
        <v>3227</v>
      </c>
      <c r="B137" s="6" t="s">
        <v>55</v>
      </c>
      <c r="C137" s="44"/>
      <c r="D137" s="44"/>
      <c r="E137" s="44"/>
      <c r="F137" s="43"/>
    </row>
    <row r="138" spans="1:8 16384:16384" s="18" customFormat="1" x14ac:dyDescent="0.25">
      <c r="A138" s="3">
        <v>323</v>
      </c>
      <c r="B138" s="8" t="s">
        <v>56</v>
      </c>
      <c r="C138" s="43">
        <f>SUM(C139:C147)</f>
        <v>175000</v>
      </c>
      <c r="D138" s="43"/>
      <c r="E138" s="43">
        <f>SUM(E139:E147)</f>
        <v>145916</v>
      </c>
      <c r="F138" s="43"/>
      <c r="XFD138" s="18">
        <f>SUM(A138:XFC138)</f>
        <v>321239</v>
      </c>
    </row>
    <row r="139" spans="1:8 16384:16384" x14ac:dyDescent="0.25">
      <c r="A139" s="13">
        <v>3231</v>
      </c>
      <c r="B139" s="6" t="s">
        <v>57</v>
      </c>
      <c r="C139" s="44">
        <v>80000</v>
      </c>
      <c r="D139" s="44"/>
      <c r="E139" s="44">
        <f>6760+119388</f>
        <v>126148</v>
      </c>
      <c r="F139" s="43">
        <f t="shared" ref="F139:F175" si="2">E139/C139*100</f>
        <v>157.685</v>
      </c>
    </row>
    <row r="140" spans="1:8 16384:16384" x14ac:dyDescent="0.25">
      <c r="A140" s="13">
        <v>3232</v>
      </c>
      <c r="B140" s="6" t="s">
        <v>58</v>
      </c>
      <c r="C140" s="44"/>
      <c r="D140" s="44"/>
      <c r="E140" s="44"/>
      <c r="F140" s="43"/>
    </row>
    <row r="141" spans="1:8 16384:16384" x14ac:dyDescent="0.25">
      <c r="A141" s="13">
        <v>3233</v>
      </c>
      <c r="B141" s="6" t="s">
        <v>59</v>
      </c>
      <c r="C141" s="44"/>
      <c r="D141" s="44"/>
      <c r="E141" s="44">
        <v>1250</v>
      </c>
      <c r="F141" s="43"/>
    </row>
    <row r="142" spans="1:8 16384:16384" x14ac:dyDescent="0.25">
      <c r="A142" s="13">
        <v>3234</v>
      </c>
      <c r="B142" s="6" t="s">
        <v>60</v>
      </c>
      <c r="C142" s="44"/>
      <c r="D142" s="44"/>
      <c r="E142" s="44"/>
      <c r="F142" s="43"/>
    </row>
    <row r="143" spans="1:8 16384:16384" x14ac:dyDescent="0.25">
      <c r="A143" s="13">
        <v>3235</v>
      </c>
      <c r="B143" s="6" t="s">
        <v>61</v>
      </c>
      <c r="C143" s="44"/>
      <c r="D143" s="44"/>
      <c r="E143" s="44"/>
      <c r="F143" s="43"/>
      <c r="H143">
        <v>12581447</v>
      </c>
    </row>
    <row r="144" spans="1:8 16384:16384" x14ac:dyDescent="0.25">
      <c r="A144" s="13">
        <v>3236</v>
      </c>
      <c r="B144" s="6" t="s">
        <v>62</v>
      </c>
      <c r="C144" s="44"/>
      <c r="D144" s="44"/>
      <c r="E144" s="44">
        <v>1850</v>
      </c>
      <c r="F144" s="43"/>
      <c r="H144">
        <f>11500339+715000+8367+154955+349+191645</f>
        <v>12570655</v>
      </c>
    </row>
    <row r="145" spans="1:8" x14ac:dyDescent="0.25">
      <c r="A145" s="13">
        <v>3237</v>
      </c>
      <c r="B145" s="6" t="s">
        <v>63</v>
      </c>
      <c r="C145" s="44">
        <v>60000</v>
      </c>
      <c r="D145" s="44"/>
      <c r="E145" s="44">
        <v>3750</v>
      </c>
      <c r="F145" s="43">
        <f t="shared" si="2"/>
        <v>6.25</v>
      </c>
      <c r="H145" s="55">
        <f>H143-H144</f>
        <v>10792</v>
      </c>
    </row>
    <row r="146" spans="1:8" x14ac:dyDescent="0.25">
      <c r="A146" s="13">
        <v>3238</v>
      </c>
      <c r="B146" s="6" t="s">
        <v>64</v>
      </c>
      <c r="C146" s="44">
        <v>15000</v>
      </c>
      <c r="D146" s="44"/>
      <c r="E146" s="44">
        <v>240</v>
      </c>
      <c r="F146" s="43">
        <f t="shared" si="2"/>
        <v>1.6</v>
      </c>
    </row>
    <row r="147" spans="1:8" x14ac:dyDescent="0.25">
      <c r="A147" s="13">
        <v>3239</v>
      </c>
      <c r="B147" s="6" t="s">
        <v>65</v>
      </c>
      <c r="C147" s="44">
        <v>20000</v>
      </c>
      <c r="D147" s="44"/>
      <c r="E147" s="44">
        <v>12678</v>
      </c>
      <c r="F147" s="43"/>
    </row>
    <row r="148" spans="1:8" x14ac:dyDescent="0.25">
      <c r="A148" s="3">
        <v>324</v>
      </c>
      <c r="B148" s="8" t="s">
        <v>66</v>
      </c>
      <c r="C148" s="43"/>
      <c r="D148" s="43"/>
      <c r="E148" s="43">
        <f>E149</f>
        <v>2822</v>
      </c>
      <c r="F148" s="43"/>
    </row>
    <row r="149" spans="1:8" x14ac:dyDescent="0.25">
      <c r="A149" s="13">
        <v>3241</v>
      </c>
      <c r="B149" s="6" t="s">
        <v>66</v>
      </c>
      <c r="C149" s="44"/>
      <c r="D149" s="44"/>
      <c r="E149" s="44">
        <v>2822</v>
      </c>
      <c r="F149" s="43"/>
    </row>
    <row r="150" spans="1:8" s="18" customFormat="1" x14ac:dyDescent="0.25">
      <c r="A150" s="3">
        <v>329</v>
      </c>
      <c r="B150" s="8" t="s">
        <v>67</v>
      </c>
      <c r="C150" s="43">
        <f>SUM(C151:C157)</f>
        <v>363000</v>
      </c>
      <c r="D150" s="43"/>
      <c r="E150" s="43">
        <f>SUM(E151:E157)</f>
        <v>132253</v>
      </c>
      <c r="F150" s="43"/>
    </row>
    <row r="151" spans="1:8" x14ac:dyDescent="0.25">
      <c r="A151" s="13">
        <v>3291</v>
      </c>
      <c r="B151" s="6" t="s">
        <v>68</v>
      </c>
      <c r="C151" s="44"/>
      <c r="D151" s="44"/>
      <c r="E151" s="44"/>
      <c r="F151" s="43"/>
    </row>
    <row r="152" spans="1:8" x14ac:dyDescent="0.25">
      <c r="A152" s="13">
        <v>3292</v>
      </c>
      <c r="B152" s="6" t="s">
        <v>69</v>
      </c>
      <c r="C152" s="44">
        <v>1000</v>
      </c>
      <c r="D152" s="44"/>
      <c r="E152" s="44">
        <v>0</v>
      </c>
      <c r="F152" s="43"/>
    </row>
    <row r="153" spans="1:8" x14ac:dyDescent="0.25">
      <c r="A153" s="13">
        <v>3293</v>
      </c>
      <c r="B153" s="6" t="s">
        <v>70</v>
      </c>
      <c r="C153" s="44">
        <v>5000</v>
      </c>
      <c r="D153" s="44"/>
      <c r="E153" s="44">
        <v>10524</v>
      </c>
      <c r="F153" s="43">
        <f t="shared" si="2"/>
        <v>210.48</v>
      </c>
    </row>
    <row r="154" spans="1:8" x14ac:dyDescent="0.25">
      <c r="A154" s="13">
        <v>3294</v>
      </c>
      <c r="B154" s="6" t="s">
        <v>71</v>
      </c>
      <c r="C154" s="44"/>
      <c r="D154" s="44"/>
      <c r="E154" s="44"/>
      <c r="F154" s="43"/>
    </row>
    <row r="155" spans="1:8" x14ac:dyDescent="0.25">
      <c r="A155" s="13">
        <v>3295</v>
      </c>
      <c r="B155" s="6" t="s">
        <v>72</v>
      </c>
      <c r="C155" s="44">
        <v>30000</v>
      </c>
      <c r="D155" s="44"/>
      <c r="E155" s="44">
        <v>27631</v>
      </c>
      <c r="F155" s="43"/>
    </row>
    <row r="156" spans="1:8" x14ac:dyDescent="0.25">
      <c r="A156" s="13">
        <v>3296</v>
      </c>
      <c r="B156" s="6" t="s">
        <v>73</v>
      </c>
      <c r="C156" s="44">
        <v>317000</v>
      </c>
      <c r="D156" s="44"/>
      <c r="E156" s="44">
        <v>61067</v>
      </c>
      <c r="F156" s="43"/>
    </row>
    <row r="157" spans="1:8" x14ac:dyDescent="0.25">
      <c r="A157" s="13">
        <v>3299</v>
      </c>
      <c r="B157" s="6" t="s">
        <v>67</v>
      </c>
      <c r="C157" s="44">
        <f>10000</f>
        <v>10000</v>
      </c>
      <c r="D157" s="44"/>
      <c r="E157" s="44">
        <v>33031</v>
      </c>
      <c r="F157" s="43">
        <f t="shared" si="2"/>
        <v>330.31</v>
      </c>
    </row>
    <row r="158" spans="1:8" x14ac:dyDescent="0.25">
      <c r="A158" s="3">
        <v>34</v>
      </c>
      <c r="B158" s="8" t="s">
        <v>74</v>
      </c>
      <c r="C158" s="43">
        <f>C159</f>
        <v>83500</v>
      </c>
      <c r="D158" s="43"/>
      <c r="E158" s="43">
        <f>E159</f>
        <v>36868</v>
      </c>
      <c r="F158" s="43"/>
    </row>
    <row r="159" spans="1:8" x14ac:dyDescent="0.25">
      <c r="A159" s="3">
        <v>343</v>
      </c>
      <c r="B159" s="8" t="s">
        <v>75</v>
      </c>
      <c r="C159" s="43">
        <f>SUM(C160:C162)</f>
        <v>83500</v>
      </c>
      <c r="D159" s="43"/>
      <c r="E159" s="43">
        <f>SUM(E160:E162)</f>
        <v>36868</v>
      </c>
      <c r="F159" s="43"/>
    </row>
    <row r="160" spans="1:8" x14ac:dyDescent="0.25">
      <c r="A160" s="13">
        <v>3431</v>
      </c>
      <c r="B160" s="6" t="s">
        <v>76</v>
      </c>
      <c r="C160" s="44">
        <v>500</v>
      </c>
      <c r="D160" s="44"/>
      <c r="E160" s="44">
        <v>0</v>
      </c>
      <c r="F160" s="43"/>
    </row>
    <row r="161" spans="1:6" x14ac:dyDescent="0.25">
      <c r="A161" s="13">
        <v>3433</v>
      </c>
      <c r="B161" s="6" t="s">
        <v>77</v>
      </c>
      <c r="C161" s="44">
        <v>83000</v>
      </c>
      <c r="D161" s="44"/>
      <c r="E161" s="44">
        <v>19058</v>
      </c>
      <c r="F161" s="43"/>
    </row>
    <row r="162" spans="1:6" x14ac:dyDescent="0.25">
      <c r="A162" s="13">
        <v>3434</v>
      </c>
      <c r="B162" s="6" t="s">
        <v>78</v>
      </c>
      <c r="C162" s="44">
        <v>0</v>
      </c>
      <c r="D162" s="44"/>
      <c r="E162" s="44">
        <v>17810</v>
      </c>
      <c r="F162" s="43">
        <v>0</v>
      </c>
    </row>
    <row r="163" spans="1:6" x14ac:dyDescent="0.25">
      <c r="A163" s="3">
        <v>372</v>
      </c>
      <c r="B163" s="8" t="s">
        <v>129</v>
      </c>
      <c r="C163" s="43">
        <f>C164</f>
        <v>60000</v>
      </c>
      <c r="D163" s="43"/>
      <c r="E163" s="43">
        <f>E164</f>
        <v>68420</v>
      </c>
      <c r="F163" s="43">
        <f t="shared" si="2"/>
        <v>114.03333333333335</v>
      </c>
    </row>
    <row r="164" spans="1:6" x14ac:dyDescent="0.25">
      <c r="A164" s="13">
        <v>3722</v>
      </c>
      <c r="B164" s="6" t="s">
        <v>81</v>
      </c>
      <c r="C164" s="44">
        <v>60000</v>
      </c>
      <c r="D164" s="44"/>
      <c r="E164" s="44">
        <v>68420</v>
      </c>
      <c r="F164" s="43">
        <f t="shared" si="2"/>
        <v>114.03333333333335</v>
      </c>
    </row>
    <row r="165" spans="1:6" x14ac:dyDescent="0.25">
      <c r="A165" s="3">
        <v>38</v>
      </c>
      <c r="B165" s="8" t="s">
        <v>40</v>
      </c>
      <c r="C165" s="43"/>
      <c r="D165" s="43"/>
      <c r="E165" s="43">
        <v>0</v>
      </c>
      <c r="F165" s="43"/>
    </row>
    <row r="166" spans="1:6" x14ac:dyDescent="0.25">
      <c r="A166" s="3">
        <v>381</v>
      </c>
      <c r="B166" s="8" t="s">
        <v>82</v>
      </c>
      <c r="C166" s="43"/>
      <c r="D166" s="43"/>
      <c r="E166" s="43">
        <v>0</v>
      </c>
      <c r="F166" s="43"/>
    </row>
    <row r="167" spans="1:6" x14ac:dyDescent="0.25">
      <c r="A167" s="13">
        <v>3812</v>
      </c>
      <c r="B167" s="6" t="s">
        <v>84</v>
      </c>
      <c r="C167" s="44"/>
      <c r="D167" s="44"/>
      <c r="E167" s="44">
        <v>0</v>
      </c>
      <c r="F167" s="43"/>
    </row>
    <row r="168" spans="1:6" x14ac:dyDescent="0.25">
      <c r="A168" s="3">
        <v>4</v>
      </c>
      <c r="B168" s="8" t="s">
        <v>91</v>
      </c>
      <c r="C168" s="43"/>
      <c r="D168" s="43"/>
      <c r="E168" s="43"/>
      <c r="F168" s="43"/>
    </row>
    <row r="169" spans="1:6" x14ac:dyDescent="0.25">
      <c r="A169" s="3">
        <v>421</v>
      </c>
      <c r="B169" s="8" t="s">
        <v>86</v>
      </c>
      <c r="C169" s="43"/>
      <c r="D169" s="43"/>
      <c r="E169" s="43"/>
      <c r="F169" s="43"/>
    </row>
    <row r="170" spans="1:6" x14ac:dyDescent="0.25">
      <c r="A170" s="3">
        <v>422</v>
      </c>
      <c r="B170" s="8" t="s">
        <v>85</v>
      </c>
      <c r="C170" s="43"/>
      <c r="D170" s="43"/>
      <c r="E170" s="43"/>
      <c r="F170" s="43"/>
    </row>
    <row r="171" spans="1:6" x14ac:dyDescent="0.25">
      <c r="A171" s="13">
        <v>4221</v>
      </c>
      <c r="B171" s="6" t="s">
        <v>87</v>
      </c>
      <c r="C171" s="44"/>
      <c r="D171" s="44"/>
      <c r="E171" s="44"/>
      <c r="F171" s="43"/>
    </row>
    <row r="172" spans="1:6" x14ac:dyDescent="0.25">
      <c r="A172" s="13">
        <v>4222</v>
      </c>
      <c r="B172" s="6" t="s">
        <v>88</v>
      </c>
      <c r="C172" s="44"/>
      <c r="D172" s="44"/>
      <c r="E172" s="44"/>
      <c r="F172" s="43"/>
    </row>
    <row r="173" spans="1:6" x14ac:dyDescent="0.25">
      <c r="A173" s="3">
        <v>424</v>
      </c>
      <c r="B173" s="8" t="s">
        <v>89</v>
      </c>
      <c r="C173" s="43">
        <f>C174</f>
        <v>8000</v>
      </c>
      <c r="D173" s="43"/>
      <c r="E173" s="43">
        <f>E174</f>
        <v>2542</v>
      </c>
      <c r="F173" s="43"/>
    </row>
    <row r="174" spans="1:6" x14ac:dyDescent="0.25">
      <c r="A174" s="13">
        <v>4241</v>
      </c>
      <c r="B174" s="6" t="s">
        <v>90</v>
      </c>
      <c r="C174" s="44">
        <v>8000</v>
      </c>
      <c r="D174" s="44"/>
      <c r="E174" s="44">
        <v>2542</v>
      </c>
      <c r="F174" s="43">
        <f t="shared" si="2"/>
        <v>31.774999999999999</v>
      </c>
    </row>
    <row r="175" spans="1:6" x14ac:dyDescent="0.25">
      <c r="A175" s="13"/>
      <c r="B175" s="9" t="s">
        <v>101</v>
      </c>
      <c r="C175" s="44">
        <f>C126+C131+C138+C148+C150+C159+C163+C173+C115</f>
        <v>13422342</v>
      </c>
      <c r="D175" s="44"/>
      <c r="E175" s="44">
        <f>E126+E131+E138+E148+E150+E159+E163+E173+E115</f>
        <v>6959283</v>
      </c>
      <c r="F175" s="43">
        <f t="shared" si="2"/>
        <v>51.848500060570657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opći dio</vt:lpstr>
      <vt:lpstr>izvršenje finacijskog plana</vt:lpstr>
      <vt:lpstr>izvršenje - klasifikacija i izv</vt:lpstr>
      <vt:lpstr>rashodi po izvorima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Korisnik</cp:lastModifiedBy>
  <cp:lastPrinted>2022-03-30T05:33:09Z</cp:lastPrinted>
  <dcterms:created xsi:type="dcterms:W3CDTF">2022-03-08T07:18:33Z</dcterms:created>
  <dcterms:modified xsi:type="dcterms:W3CDTF">2022-07-20T09:00:02Z</dcterms:modified>
</cp:coreProperties>
</file>